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525" windowWidth="15480" windowHeight="10320" tabRatio="916" activeTab="0"/>
  </bookViews>
  <sheets>
    <sheet name="на сайт" sheetId="1" r:id="rId1"/>
  </sheets>
  <definedNames/>
  <calcPr fullCalcOnLoad="1"/>
</workbook>
</file>

<file path=xl/comments1.xml><?xml version="1.0" encoding="utf-8"?>
<comments xmlns="http://schemas.openxmlformats.org/spreadsheetml/2006/main">
  <authors>
    <author>smirnova</author>
  </authors>
  <commentList>
    <comment ref="G43" authorId="0">
      <text>
        <r>
          <rPr>
            <b/>
            <sz val="9"/>
            <rFont val="Tahoma"/>
            <family val="2"/>
          </rPr>
          <t>передбачено корм та вакцинація, стерилізація, евтаназія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<sst xmlns="http://schemas.openxmlformats.org/spreadsheetml/2006/main" count="127" uniqueCount="111">
  <si>
    <t>Утримання та забезпечення роботи мереж зовнішнього освітлення, в т.ч.:</t>
  </si>
  <si>
    <t>Догляд за зеленими насадженнями міста, в т.ч.:</t>
  </si>
  <si>
    <t>фінансова підтримка КП "Комбінат комунальних підприємств"  на утримання кладовищ, організацію поховань одиноких померлих та безрідних громадян</t>
  </si>
  <si>
    <t>Утримання площ, скверів  та бульвару Шевченка</t>
  </si>
  <si>
    <t>Утримання зелених зон</t>
  </si>
  <si>
    <t xml:space="preserve">літнє утримання доріг(очищення зупинок громадського транспорту, прибордюрної частини шляхів,дорожнього покриття, технологічних смуг, миття шляхів поливо-мийними машинами високого тиску) </t>
  </si>
  <si>
    <t>зимове утримання  доріг (очищення шляхів від снігу; навантаження та вивезення снігу; розчищення снігових валів на перехрестях, пішохідних переходах, зупинках громадського транспорту, в’їздах в двори та внутрішньоквартальні проїзди;оброблення шляхів технологічними матеріалами; очищення зупинок громадського транспорту;очищення  проїжджої частини автогрейдером)</t>
  </si>
  <si>
    <t>приймання стічних вод із накопичувальних басейнів</t>
  </si>
  <si>
    <t xml:space="preserve">Оплата електроенергїї світлофорних об'єктів </t>
  </si>
  <si>
    <t>Утримання  міських доріг, в т.ч.:</t>
  </si>
  <si>
    <t>із них</t>
  </si>
  <si>
    <t xml:space="preserve">Загальний фонд </t>
  </si>
  <si>
    <t xml:space="preserve">Спеціальний фонд </t>
  </si>
  <si>
    <t xml:space="preserve"> ВОДОПРОВІДНО -КАНАЛІЗАЦІЙНЕ ГОСПОДАРСТВО (КТКВК 100202)</t>
  </si>
  <si>
    <t>БЛАГОУСТРІЙ МІСТА (КТКВК 100203)</t>
  </si>
  <si>
    <t>бюджет розвитку</t>
  </si>
  <si>
    <t>№з/п</t>
  </si>
  <si>
    <t>НАПРЯМКИ ВИДАТКІВ</t>
  </si>
  <si>
    <t>Уточнений план на  2015 рік</t>
  </si>
  <si>
    <t>Касові видатки 2015</t>
  </si>
  <si>
    <t>в т.ч. кредиторська заборгованість на 01.01.2015</t>
  </si>
  <si>
    <t xml:space="preserve">Касові видатки 2015р. (без врахування кредиторської заборгованості на 01.01.2015 - 6397,2 тис.грн. )  </t>
  </si>
  <si>
    <t>Пропозиції на 2016 рік згідно бюджетного запиту  департаменту ЖКК</t>
  </si>
  <si>
    <t>Виконання за 2014 рік</t>
  </si>
  <si>
    <t>Виконання за 2015 рік</t>
  </si>
  <si>
    <t>Одиниця виміру</t>
  </si>
  <si>
    <t xml:space="preserve">Разом видатків на поточний рік </t>
  </si>
  <si>
    <t xml:space="preserve">ГОЛОВНИЙ РОЗПОРЯДНИК КОШТІВ -ДЕПАРТАМЕНТ ЖИТЛОВО-КОМУНАЛЬНОГО КОМПЛЕКСУ </t>
  </si>
  <si>
    <t>Обстеження якості питної води з нецентралізованих джерел водопостачання</t>
  </si>
  <si>
    <t>х</t>
  </si>
  <si>
    <t>поточний ремонт та обслуговування  мереж зовнішнього освітлення</t>
  </si>
  <si>
    <t>оплата електроенергії для освітлення міста</t>
  </si>
  <si>
    <r>
      <rPr>
        <i/>
        <sz val="14"/>
        <rFont val="Times New Roman"/>
        <family val="1"/>
      </rPr>
      <t>фінансова підтримка КП "Міськсвітло" на  утримання пульта керування мережами зовнішнього освітлення</t>
    </r>
    <r>
      <rPr>
        <sz val="14"/>
        <rFont val="Times New Roman"/>
        <family val="1"/>
      </rPr>
      <t xml:space="preserve"> </t>
    </r>
  </si>
  <si>
    <t>косіння газонів</t>
  </si>
  <si>
    <t>придбання та встановлення кашпо, лавок з урнами</t>
  </si>
  <si>
    <t>обрізка дерев (формувальна, омолоджувальна, санітарна, вздовж повітряних ліній та на перехрестях), знесення дерев, видалення самосівів, видалення пеньків</t>
  </si>
  <si>
    <t>утримання зелених насаджень, газонів на бульварі Шевченка</t>
  </si>
  <si>
    <t>інвентаризація зелених насаджень</t>
  </si>
  <si>
    <t>Утримання та догляд за фонтанами, в т.ч.:</t>
  </si>
  <si>
    <t xml:space="preserve">утримання та обслуговування фонтанів </t>
  </si>
  <si>
    <t>оплата водопостачання та водовідведення</t>
  </si>
  <si>
    <t>оплата електроенергії</t>
  </si>
  <si>
    <t xml:space="preserve">Утримання міських кладовищ, в т.ч.: </t>
  </si>
  <si>
    <t>Відлов та утримання бродячих тварин, в т.ч.:</t>
  </si>
  <si>
    <t>фінансова підтримка КП "Черкаська служба чистоти"  на утримання притулку для тварин</t>
  </si>
  <si>
    <t>Утримання мереж зливової каналізації, в т.ч.:</t>
  </si>
  <si>
    <t>оплата електроенергії насосних станцій</t>
  </si>
  <si>
    <t>Монтування ялинки та гирлянд</t>
  </si>
  <si>
    <t>1.2</t>
  </si>
  <si>
    <t>2.1</t>
  </si>
  <si>
    <t>ВСЬОГО ВИДАТКІВ</t>
  </si>
  <si>
    <t>грн.</t>
  </si>
  <si>
    <t>КАПІТАЛЬНИЙ РЕМОНТ ЖИТЛОВОГО ФОНДУ МІСЦЕВИХ ОРГАНІВ ВЛАДИ (КТКВК 100102)</t>
  </si>
  <si>
    <t>4.1</t>
  </si>
  <si>
    <t>3.1</t>
  </si>
  <si>
    <t>Капітальний ремонт житлового фонду міської комунальної власності (капітальний ремонт ліфтів):
- капітальний ремонт ліфтів поточного року;
- експертне обстеження ліфтів поточного року;</t>
  </si>
  <si>
    <t xml:space="preserve">Капітальний ремонт гуртожитку  по вул. Смілянська,90/1 (мережі водовідведення) </t>
  </si>
  <si>
    <t xml:space="preserve">Капітальний ремонт гуртожитку по вул. Одеська, 14 (покрівля) (з ПКД) </t>
  </si>
  <si>
    <t>Капітальний ремонт будинку по вул. Небесної Сотні, 45 (утеплення фасаду)</t>
  </si>
  <si>
    <t>КАПІТАЛЬНИЙ РЕМОНТ ЖИТЛОВОГО ФОНДУ ОБ'ЄДНАНЬ СПІВЛАСНИКІВ БАГАТОКВАРТИРНИХ БУДИНКІВ  (КТКВК 100106)</t>
  </si>
  <si>
    <t>Надання співфінансування ОСББ  на виконання капітальних ремонтів:
'-енергозберігаючі заходи;
'-інші види робіт (покрівлі, інженерні мережі та інше)</t>
  </si>
  <si>
    <t>4.2</t>
  </si>
  <si>
    <t>4.3</t>
  </si>
  <si>
    <t>4.4</t>
  </si>
  <si>
    <t>4.5</t>
  </si>
  <si>
    <t>4.6</t>
  </si>
  <si>
    <t>4.7</t>
  </si>
  <si>
    <t>4.9</t>
  </si>
  <si>
    <t>4.10</t>
  </si>
  <si>
    <t>4.11</t>
  </si>
  <si>
    <t>4.12</t>
  </si>
  <si>
    <t>4.13</t>
  </si>
  <si>
    <t>1.3</t>
  </si>
  <si>
    <t>1.4</t>
  </si>
  <si>
    <t>1.5</t>
  </si>
  <si>
    <t>1.6</t>
  </si>
  <si>
    <t>1.1</t>
  </si>
  <si>
    <t>1.7</t>
  </si>
  <si>
    <t>1.8</t>
  </si>
  <si>
    <t>1.9</t>
  </si>
  <si>
    <t>Фінансова підтримка  КП "Черкасиводоканал" на    виконання    рішень судів  (на користь   ПАТ "Азот")</t>
  </si>
  <si>
    <t>%</t>
  </si>
  <si>
    <t>1.10</t>
  </si>
  <si>
    <t>1.11</t>
  </si>
  <si>
    <t>4,8</t>
  </si>
  <si>
    <t xml:space="preserve">Утримання міських пляжів </t>
  </si>
  <si>
    <t>4.14</t>
  </si>
  <si>
    <t>Фінансова підтримка КП "Черкаське експлуатаційне лінійне управлінняґ автомобільних шляхів" на погашення заборгованості із заробітної плати</t>
  </si>
  <si>
    <t>4.15</t>
  </si>
  <si>
    <t>КП "Служба утримання будинків "Митниця"</t>
  </si>
  <si>
    <t>КП "Соснівська служба утримання будинків "</t>
  </si>
  <si>
    <t>КП "Придніпровська  служба утримання будинків "</t>
  </si>
  <si>
    <t>ВИДАТКИ НА ЖИТЛОВО-КОМУНАЛЬНЕ ГОСПОДАРСТВО МІСЬКОГО БЮДЖЕТУ У 2016 РОЦІ</t>
  </si>
  <si>
    <t xml:space="preserve">Фінансова підтримка на проведення поточного ремонту  міжбудинкових пішохідних доріжок та  прибудинкових територій житлових  будинків, в т.ч. </t>
  </si>
  <si>
    <t>Капітальний ремонт житлового будинку по вул. Волкова, 101 (внутрішньобудинкові мережі електропостачання)</t>
  </si>
  <si>
    <t>Капітальний ремонт житлового будинку по вул. Волкова, 75 (внутрішньобудинкові мережі електропостачання)</t>
  </si>
  <si>
    <t>Капітальний ремонт житлового будинку по вул. Волкова, 95 (внутрішньобудинкові мережі електропостачання)</t>
  </si>
  <si>
    <t>Капітальний ремонт житлового будинку по вул. Смілянській, 128 (проектно-вишукувальні роботи, капітальний ремонт ліфтів 4,5 під'їздів)</t>
  </si>
  <si>
    <t xml:space="preserve"> Капітальний ремонт гуртожитку по бульв. Шевченка, 276 (квартири 4, 10, 24, 30, 44, 50) (капітальний ремонт залізобетонних плит балконів)</t>
  </si>
  <si>
    <t>Капітальний ремонт житлового будинку по бульв. Шевченка, 132 (утеплення фасаду зі сторони бул. Шевченка з 1 по 4 під'їзд)</t>
  </si>
  <si>
    <t>Капітальний ремонт житлового будинку по вул.В.Чорновола №7 (виготовлення ПКД на зміну проектного рішення системи газопостачання у відповідності до ДБН В.2.5-20-200 у житловому будинку)</t>
  </si>
  <si>
    <t>1.12</t>
  </si>
  <si>
    <t>Капітальний ремонт житлового будинку по вул. Різдвяна, 21 (внутрішньобудинкові мережі електропостачання)</t>
  </si>
  <si>
    <t>1.13</t>
  </si>
  <si>
    <t>Капітальний ремонт житлового будинку по вул. Різдвяна ,4 (внутрішньобудинкові мережі електропостачання)</t>
  </si>
  <si>
    <t xml:space="preserve"> </t>
  </si>
  <si>
    <t>Капітальний ремонт житлового будинку по вул. 14 грудня,91 в м. Черкаси (покрівля)</t>
  </si>
  <si>
    <t>Капітальний ремонт житлового будинку по вул. Сумгаїтській,24/1</t>
  </si>
  <si>
    <t>Капітальний ремонт житлового будинку по вул.Благовісна,222 в м. Черкаси (заміна водопідігрівача)</t>
  </si>
  <si>
    <t>Капітальний ремонт житлового будинку по вул.Благовісна,2147 в м. Черкаси заміна водопідігрівача)</t>
  </si>
  <si>
    <t>Профінансовано на 08.07.2016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</si>
</sst>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₴&quot;;\-#,##0&quot;₴&quot;"/>
    <numFmt numFmtId="181" formatCode="#,##0&quot;₴&quot;;[Red]\-#,##0&quot;₴&quot;"/>
    <numFmt numFmtId="182" formatCode="#,##0.00&quot;₴&quot;;\-#,##0.00&quot;₴&quot;"/>
    <numFmt numFmtId="183" formatCode="#,##0.00&quot;₴&quot;;[Red]\-#,##0.00&quot;₴&quot;"/>
    <numFmt numFmtId="184" formatCode="_-* #,##0&quot;₴&quot;_-;\-* #,##0&quot;₴&quot;_-;_-* &quot;-&quot;&quot;₴&quot;_-;_-@_-"/>
    <numFmt numFmtId="185" formatCode="_-* #,##0_₴_-;\-* #,##0_₴_-;_-* &quot;-&quot;_₴_-;_-@_-"/>
    <numFmt numFmtId="186" formatCode="_-* #,##0.00&quot;₴&quot;_-;\-* #,##0.00&quot;₴&quot;_-;_-* &quot;-&quot;??&quot;₴&quot;_-;_-@_-"/>
    <numFmt numFmtId="187" formatCode="_-* #,##0.00_₴_-;\-* #,##0.00_₴_-;_-* &quot;-&quot;??_₴_-;_-@_-"/>
    <numFmt numFmtId="188" formatCode="#,##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0.0%"/>
    <numFmt numFmtId="194" formatCode="0.000"/>
    <numFmt numFmtId="195" formatCode="#,##0.00000"/>
    <numFmt numFmtId="196" formatCode="0.0"/>
    <numFmt numFmtId="197" formatCode="#,##0.000"/>
    <numFmt numFmtId="198" formatCode="#,##0.00_р_."/>
    <numFmt numFmtId="199" formatCode="#,##0.0000"/>
    <numFmt numFmtId="200" formatCode="#,##0.00\ _г_р_н_."/>
    <numFmt numFmtId="201" formatCode="#,##0.0\ _г_р_н_."/>
  </numFmts>
  <fonts count="38">
    <font>
      <sz val="10"/>
      <name val="Times New Roman"/>
      <family val="0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0"/>
      <name val="Helv"/>
      <family val="0"/>
    </font>
    <font>
      <sz val="10"/>
      <name val="Arial Cyr"/>
      <family val="0"/>
    </font>
    <font>
      <sz val="10"/>
      <name val="Arial"/>
      <family val="2"/>
    </font>
    <font>
      <sz val="10"/>
      <name val="Courier New"/>
      <family val="3"/>
    </font>
    <font>
      <sz val="14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i/>
      <sz val="14"/>
      <name val="Times New Roman"/>
      <family val="1"/>
    </font>
    <font>
      <b/>
      <sz val="14"/>
      <color indexed="8"/>
      <name val="Calibri"/>
      <family val="2"/>
    </font>
    <font>
      <b/>
      <i/>
      <sz val="14"/>
      <color indexed="8"/>
      <name val="Times New Roman"/>
      <family val="1"/>
    </font>
    <font>
      <b/>
      <i/>
      <sz val="12"/>
      <color indexed="8"/>
      <name val="Times New Roman"/>
      <family val="1"/>
    </font>
    <font>
      <i/>
      <sz val="14"/>
      <color indexed="8"/>
      <name val="Times New Roman"/>
      <family val="1"/>
    </font>
    <font>
      <sz val="14"/>
      <color indexed="8"/>
      <name val="Calibri"/>
      <family val="2"/>
    </font>
    <font>
      <sz val="11"/>
      <color indexed="62"/>
      <name val="Calibri"/>
      <family val="2"/>
    </font>
    <font>
      <u val="single"/>
      <sz val="9"/>
      <color indexed="12"/>
      <name val="Times New Roman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u val="single"/>
      <sz val="9"/>
      <color indexed="20"/>
      <name val="Times New Roman"/>
      <family val="1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Times New Roman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9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12" fillId="0" borderId="0">
      <alignment/>
      <protection/>
    </xf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27" fillId="20" borderId="1" applyNumberFormat="0" applyAlignment="0" applyProtection="0"/>
    <xf numFmtId="0" fontId="4" fillId="21" borderId="2" applyNumberFormat="0" applyAlignment="0" applyProtection="0"/>
    <xf numFmtId="0" fontId="8" fillId="21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" fillId="0" borderId="0">
      <alignment/>
      <protection/>
    </xf>
    <xf numFmtId="0" fontId="6" fillId="0" borderId="6" applyNumberFormat="0" applyFill="0" applyAlignment="0" applyProtection="0"/>
    <xf numFmtId="0" fontId="32" fillId="22" borderId="7" applyNumberFormat="0" applyAlignment="0" applyProtection="0"/>
    <xf numFmtId="0" fontId="33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1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34" fillId="0" borderId="0" applyNumberFormat="0" applyFill="0" applyBorder="0" applyAlignment="0" applyProtection="0"/>
    <xf numFmtId="0" fontId="3" fillId="3" borderId="0" applyNumberFormat="0" applyBorder="0" applyAlignment="0" applyProtection="0"/>
    <xf numFmtId="0" fontId="5" fillId="0" borderId="0" applyNumberFormat="0" applyFill="0" applyBorder="0" applyAlignment="0" applyProtection="0"/>
    <xf numFmtId="0" fontId="1" fillId="23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11" fillId="0" borderId="0">
      <alignment/>
      <protection/>
    </xf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6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10" xfId="82" applyFont="1" applyFill="1" applyBorder="1" applyAlignment="1">
      <alignment horizontal="left" wrapText="1"/>
      <protection/>
    </xf>
    <xf numFmtId="0" fontId="15" fillId="0" borderId="10" xfId="82" applyFont="1" applyFill="1" applyBorder="1" applyAlignment="1">
      <alignment horizontal="left" wrapText="1"/>
      <protection/>
    </xf>
    <xf numFmtId="0" fontId="21" fillId="0" borderId="10" xfId="82" applyFont="1" applyFill="1" applyBorder="1" applyAlignment="1">
      <alignment horizontal="left" wrapText="1"/>
      <protection/>
    </xf>
    <xf numFmtId="0" fontId="18" fillId="0" borderId="10" xfId="0" applyFont="1" applyBorder="1" applyAlignment="1">
      <alignment horizontal="center" vertical="center" wrapText="1"/>
    </xf>
    <xf numFmtId="1" fontId="17" fillId="24" borderId="10" xfId="0" applyNumberFormat="1" applyFont="1" applyFill="1" applyBorder="1" applyAlignment="1">
      <alignment horizontal="center"/>
    </xf>
    <xf numFmtId="0" fontId="17" fillId="24" borderId="10" xfId="0" applyFont="1" applyFill="1" applyBorder="1" applyAlignment="1">
      <alignment horizontal="left" vertical="center" wrapText="1"/>
    </xf>
    <xf numFmtId="0" fontId="17" fillId="24" borderId="10" xfId="0" applyFont="1" applyFill="1" applyBorder="1" applyAlignment="1">
      <alignment horizontal="center" wrapText="1"/>
    </xf>
    <xf numFmtId="0" fontId="23" fillId="24" borderId="10" xfId="0" applyFont="1" applyFill="1" applyBorder="1" applyAlignment="1">
      <alignment horizontal="center" wrapText="1"/>
    </xf>
    <xf numFmtId="0" fontId="17" fillId="24" borderId="10" xfId="0" applyFont="1" applyFill="1" applyBorder="1" applyAlignment="1">
      <alignment horizontal="center" vertical="center" wrapText="1"/>
    </xf>
    <xf numFmtId="0" fontId="17" fillId="25" borderId="10" xfId="0" applyFont="1" applyFill="1" applyBorder="1" applyAlignment="1">
      <alignment horizontal="left" vertical="center" wrapText="1"/>
    </xf>
    <xf numFmtId="0" fontId="17" fillId="0" borderId="10" xfId="0" applyFont="1" applyFill="1" applyBorder="1" applyAlignment="1">
      <alignment horizontal="center" wrapText="1"/>
    </xf>
    <xf numFmtId="0" fontId="23" fillId="0" borderId="10" xfId="0" applyFont="1" applyFill="1" applyBorder="1" applyAlignment="1">
      <alignment horizontal="center" wrapText="1"/>
    </xf>
    <xf numFmtId="0" fontId="17" fillId="20" borderId="10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left" wrapText="1"/>
    </xf>
    <xf numFmtId="188" fontId="17" fillId="0" borderId="10" xfId="0" applyNumberFormat="1" applyFont="1" applyBorder="1" applyAlignment="1">
      <alignment horizontal="center" vertical="center" wrapText="1"/>
    </xf>
    <xf numFmtId="188" fontId="17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left" wrapText="1"/>
    </xf>
    <xf numFmtId="188" fontId="18" fillId="0" borderId="10" xfId="0" applyNumberFormat="1" applyFont="1" applyBorder="1" applyAlignment="1">
      <alignment horizontal="center" vertical="center" wrapText="1"/>
    </xf>
    <xf numFmtId="188" fontId="18" fillId="0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 wrapText="1"/>
    </xf>
    <xf numFmtId="197" fontId="18" fillId="0" borderId="10" xfId="0" applyNumberFormat="1" applyFont="1" applyFill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188" fontId="17" fillId="25" borderId="10" xfId="0" applyNumberFormat="1" applyFont="1" applyFill="1" applyBorder="1" applyAlignment="1">
      <alignment horizontal="center" vertical="center" wrapText="1"/>
    </xf>
    <xf numFmtId="188" fontId="18" fillId="25" borderId="10" xfId="0" applyNumberFormat="1" applyFont="1" applyFill="1" applyBorder="1" applyAlignment="1">
      <alignment horizontal="center" vertical="center" wrapText="1"/>
    </xf>
    <xf numFmtId="0" fontId="17" fillId="0" borderId="10" xfId="0" applyFont="1" applyBorder="1" applyAlignment="1">
      <alignment horizontal="left"/>
    </xf>
    <xf numFmtId="197" fontId="17" fillId="0" borderId="10" xfId="0" applyNumberFormat="1" applyFont="1" applyFill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 vertical="center" wrapText="1"/>
    </xf>
    <xf numFmtId="188" fontId="2" fillId="0" borderId="10" xfId="0" applyNumberFormat="1" applyFont="1" applyFill="1" applyBorder="1" applyAlignment="1">
      <alignment horizontal="center" vertical="center" wrapText="1"/>
    </xf>
    <xf numFmtId="188" fontId="15" fillId="0" borderId="10" xfId="0" applyNumberFormat="1" applyFont="1" applyFill="1" applyBorder="1" applyAlignment="1">
      <alignment horizontal="center" vertical="center" wrapText="1"/>
    </xf>
    <xf numFmtId="197" fontId="18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vertical="center" wrapText="1"/>
    </xf>
    <xf numFmtId="0" fontId="26" fillId="0" borderId="10" xfId="0" applyFont="1" applyBorder="1" applyAlignment="1">
      <alignment/>
    </xf>
    <xf numFmtId="0" fontId="17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/>
    </xf>
    <xf numFmtId="49" fontId="17" fillId="0" borderId="10" xfId="0" applyNumberFormat="1" applyFont="1" applyBorder="1" applyAlignment="1">
      <alignment horizontal="center"/>
    </xf>
    <xf numFmtId="0" fontId="18" fillId="24" borderId="10" xfId="0" applyFont="1" applyFill="1" applyBorder="1" applyAlignment="1">
      <alignment/>
    </xf>
    <xf numFmtId="0" fontId="17" fillId="24" borderId="10" xfId="0" applyFont="1" applyFill="1" applyBorder="1" applyAlignment="1">
      <alignment horizontal="center"/>
    </xf>
    <xf numFmtId="4" fontId="0" fillId="0" borderId="0" xfId="0" applyNumberFormat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198" fontId="17" fillId="24" borderId="10" xfId="0" applyNumberFormat="1" applyFont="1" applyFill="1" applyBorder="1" applyAlignment="1">
      <alignment horizontal="center" vertical="center" wrapText="1"/>
    </xf>
    <xf numFmtId="198" fontId="17" fillId="25" borderId="10" xfId="0" applyNumberFormat="1" applyFont="1" applyFill="1" applyBorder="1" applyAlignment="1">
      <alignment horizontal="center" vertical="center" wrapText="1"/>
    </xf>
    <xf numFmtId="198" fontId="25" fillId="25" borderId="10" xfId="0" applyNumberFormat="1" applyFont="1" applyFill="1" applyBorder="1" applyAlignment="1">
      <alignment horizontal="left" vertical="center" wrapText="1"/>
    </xf>
    <xf numFmtId="198" fontId="25" fillId="0" borderId="10" xfId="0" applyNumberFormat="1" applyFont="1" applyFill="1" applyBorder="1" applyAlignment="1">
      <alignment horizontal="left" vertical="center" wrapText="1"/>
    </xf>
    <xf numFmtId="49" fontId="18" fillId="0" borderId="10" xfId="0" applyNumberFormat="1" applyFont="1" applyBorder="1" applyAlignment="1">
      <alignment horizontal="center"/>
    </xf>
    <xf numFmtId="198" fontId="17" fillId="0" borderId="10" xfId="0" applyNumberFormat="1" applyFont="1" applyBorder="1" applyAlignment="1">
      <alignment horizontal="center" vertical="center" wrapText="1"/>
    </xf>
    <xf numFmtId="198" fontId="25" fillId="0" borderId="10" xfId="0" applyNumberFormat="1" applyFont="1" applyBorder="1" applyAlignment="1">
      <alignment horizontal="left"/>
    </xf>
    <xf numFmtId="198" fontId="17" fillId="0" borderId="10" xfId="0" applyNumberFormat="1" applyFont="1" applyBorder="1" applyAlignment="1">
      <alignment horizontal="center" vertical="center"/>
    </xf>
    <xf numFmtId="49" fontId="17" fillId="25" borderId="10" xfId="0" applyNumberFormat="1" applyFont="1" applyFill="1" applyBorder="1" applyAlignment="1">
      <alignment horizontal="center"/>
    </xf>
    <xf numFmtId="0" fontId="0" fillId="0" borderId="10" xfId="0" applyBorder="1" applyAlignment="1">
      <alignment/>
    </xf>
    <xf numFmtId="0" fontId="1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200" fontId="17" fillId="0" borderId="10" xfId="0" applyNumberFormat="1" applyFont="1" applyFill="1" applyBorder="1" applyAlignment="1">
      <alignment horizontal="center" vertical="center" wrapText="1"/>
    </xf>
    <xf numFmtId="200" fontId="17" fillId="24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/>
    </xf>
    <xf numFmtId="0" fontId="2" fillId="24" borderId="10" xfId="0" applyFont="1" applyFill="1" applyBorder="1" applyAlignment="1">
      <alignment wrapText="1"/>
    </xf>
    <xf numFmtId="188" fontId="17" fillId="24" borderId="10" xfId="0" applyNumberFormat="1" applyFont="1" applyFill="1" applyBorder="1" applyAlignment="1">
      <alignment horizontal="center" vertical="center" wrapText="1"/>
    </xf>
    <xf numFmtId="0" fontId="15" fillId="0" borderId="10" xfId="80" applyFont="1" applyFill="1" applyBorder="1" applyAlignment="1">
      <alignment vertical="top" wrapText="1"/>
      <protection/>
    </xf>
    <xf numFmtId="0" fontId="15" fillId="0" borderId="10" xfId="0" applyFont="1" applyFill="1" applyBorder="1" applyAlignment="1">
      <alignment vertical="top" wrapText="1"/>
    </xf>
    <xf numFmtId="4" fontId="15" fillId="25" borderId="10" xfId="81" applyNumberFormat="1" applyFont="1" applyFill="1" applyBorder="1" applyAlignment="1">
      <alignment horizontal="center" vertical="center"/>
      <protection/>
    </xf>
    <xf numFmtId="201" fontId="15" fillId="0" borderId="10" xfId="0" applyNumberFormat="1" applyFont="1" applyBorder="1" applyAlignment="1">
      <alignment horizontal="center" vertical="center"/>
    </xf>
    <xf numFmtId="200" fontId="15" fillId="0" borderId="10" xfId="0" applyNumberFormat="1" applyFont="1" applyBorder="1" applyAlignment="1">
      <alignment horizontal="center"/>
    </xf>
    <xf numFmtId="4" fontId="2" fillId="24" borderId="10" xfId="81" applyNumberFormat="1" applyFont="1" applyFill="1" applyBorder="1" applyAlignment="1">
      <alignment horizontal="center" vertical="center"/>
      <protection/>
    </xf>
    <xf numFmtId="200" fontId="25" fillId="0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 horizontal="right"/>
    </xf>
    <xf numFmtId="4" fontId="18" fillId="24" borderId="10" xfId="0" applyNumberFormat="1" applyFont="1" applyFill="1" applyBorder="1" applyAlignment="1">
      <alignment/>
    </xf>
    <xf numFmtId="200" fontId="15" fillId="24" borderId="10" xfId="0" applyNumberFormat="1" applyFont="1" applyFill="1" applyBorder="1" applyAlignment="1">
      <alignment/>
    </xf>
    <xf numFmtId="0" fontId="16" fillId="24" borderId="10" xfId="0" applyFont="1" applyFill="1" applyBorder="1" applyAlignment="1">
      <alignment horizontal="center" vertical="center" wrapText="1"/>
    </xf>
    <xf numFmtId="0" fontId="25" fillId="0" borderId="10" xfId="0" applyNumberFormat="1" applyFont="1" applyBorder="1" applyAlignment="1">
      <alignment horizontal="left" vertical="center" wrapText="1"/>
    </xf>
    <xf numFmtId="0" fontId="10" fillId="0" borderId="11" xfId="0" applyFont="1" applyBorder="1" applyAlignment="1">
      <alignment horizontal="center"/>
    </xf>
    <xf numFmtId="200" fontId="18" fillId="25" borderId="10" xfId="0" applyNumberFormat="1" applyFont="1" applyFill="1" applyBorder="1" applyAlignment="1">
      <alignment horizontal="center" vertical="center" wrapText="1"/>
    </xf>
    <xf numFmtId="200" fontId="18" fillId="0" borderId="10" xfId="0" applyNumberFormat="1" applyFont="1" applyFill="1" applyBorder="1" applyAlignment="1">
      <alignment horizontal="center" vertical="center" wrapText="1"/>
    </xf>
    <xf numFmtId="0" fontId="10" fillId="0" borderId="12" xfId="0" applyFont="1" applyBorder="1" applyAlignment="1">
      <alignment horizontal="center"/>
    </xf>
    <xf numFmtId="4" fontId="17" fillId="24" borderId="10" xfId="0" applyNumberFormat="1" applyFont="1" applyFill="1" applyBorder="1" applyAlignment="1">
      <alignment horizontal="center"/>
    </xf>
    <xf numFmtId="4" fontId="2" fillId="24" borderId="10" xfId="0" applyNumberFormat="1" applyFont="1" applyFill="1" applyBorder="1" applyAlignment="1">
      <alignment horizontal="center"/>
    </xf>
    <xf numFmtId="196" fontId="2" fillId="24" borderId="10" xfId="0" applyNumberFormat="1" applyFont="1" applyFill="1" applyBorder="1" applyAlignment="1">
      <alignment horizontal="center"/>
    </xf>
    <xf numFmtId="196" fontId="15" fillId="0" borderId="10" xfId="0" applyNumberFormat="1" applyFont="1" applyBorder="1" applyAlignment="1">
      <alignment horizontal="center"/>
    </xf>
    <xf numFmtId="0" fontId="17" fillId="25" borderId="10" xfId="0" applyFont="1" applyFill="1" applyBorder="1" applyAlignment="1">
      <alignment horizontal="left" wrapText="1"/>
    </xf>
    <xf numFmtId="198" fontId="25" fillId="25" borderId="1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196" fontId="21" fillId="0" borderId="10" xfId="0" applyNumberFormat="1" applyFont="1" applyBorder="1" applyAlignment="1">
      <alignment horizontal="center"/>
    </xf>
    <xf numFmtId="196" fontId="21" fillId="0" borderId="10" xfId="0" applyNumberFormat="1" applyFont="1" applyBorder="1" applyAlignment="1">
      <alignment horizontal="center" vertical="center"/>
    </xf>
    <xf numFmtId="198" fontId="15" fillId="25" borderId="10" xfId="0" applyNumberFormat="1" applyFont="1" applyFill="1" applyBorder="1" applyAlignment="1">
      <alignment horizontal="center" vertical="center"/>
    </xf>
    <xf numFmtId="196" fontId="15" fillId="0" borderId="10" xfId="0" applyNumberFormat="1" applyFont="1" applyBorder="1" applyAlignment="1">
      <alignment horizontal="center" vertical="center"/>
    </xf>
    <xf numFmtId="196" fontId="2" fillId="0" borderId="10" xfId="0" applyNumberFormat="1" applyFont="1" applyBorder="1" applyAlignment="1">
      <alignment horizontal="center"/>
    </xf>
    <xf numFmtId="49" fontId="18" fillId="0" borderId="10" xfId="0" applyNumberFormat="1" applyFont="1" applyBorder="1" applyAlignment="1">
      <alignment horizontal="center" vertical="center"/>
    </xf>
    <xf numFmtId="4" fontId="15" fillId="0" borderId="10" xfId="81" applyNumberFormat="1" applyFont="1" applyFill="1" applyBorder="1" applyAlignment="1">
      <alignment horizontal="center" vertical="center"/>
      <protection/>
    </xf>
    <xf numFmtId="200" fontId="2" fillId="24" borderId="10" xfId="0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98" fontId="2" fillId="24" borderId="10" xfId="0" applyNumberFormat="1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7" fillId="0" borderId="0" xfId="0" applyFont="1" applyAlignment="1">
      <alignment horizontal="center" wrapText="1"/>
    </xf>
    <xf numFmtId="0" fontId="0" fillId="0" borderId="0" xfId="0" applyAlignment="1">
      <alignment/>
    </xf>
    <xf numFmtId="0" fontId="17" fillId="0" borderId="15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10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</cellXfs>
  <cellStyles count="8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meresha_07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вичайний 10" xfId="50"/>
    <cellStyle name="Звичайний 11" xfId="51"/>
    <cellStyle name="Звичайний 12" xfId="52"/>
    <cellStyle name="Звичайний 13" xfId="53"/>
    <cellStyle name="Звичайний 14" xfId="54"/>
    <cellStyle name="Звичайний 15" xfId="55"/>
    <cellStyle name="Звичайний 16" xfId="56"/>
    <cellStyle name="Звичайний 17" xfId="57"/>
    <cellStyle name="Звичайний 18" xfId="58"/>
    <cellStyle name="Звичайний 19" xfId="59"/>
    <cellStyle name="Звичайний 2" xfId="60"/>
    <cellStyle name="Звичайний 20" xfId="61"/>
    <cellStyle name="Звичайний 3" xfId="62"/>
    <cellStyle name="Звичайний 4" xfId="63"/>
    <cellStyle name="Звичайний 5" xfId="64"/>
    <cellStyle name="Звичайний 6" xfId="65"/>
    <cellStyle name="Звичайний 7" xfId="66"/>
    <cellStyle name="Звичайний 8" xfId="67"/>
    <cellStyle name="Звичайний 9" xfId="68"/>
    <cellStyle name="Звичайний_Xl0000125" xfId="69"/>
    <cellStyle name="Итог" xfId="70"/>
    <cellStyle name="Контрольная ячейка" xfId="71"/>
    <cellStyle name="Название" xfId="72"/>
    <cellStyle name="Нейтральный" xfId="73"/>
    <cellStyle name="Обычный 2" xfId="74"/>
    <cellStyle name="Обычный 2 2" xfId="75"/>
    <cellStyle name="Обычный 3" xfId="76"/>
    <cellStyle name="Обычный 3 2" xfId="77"/>
    <cellStyle name="Обычный 4" xfId="78"/>
    <cellStyle name="Обычный 9 2" xfId="79"/>
    <cellStyle name="Обычный_дод 2-9_дод  2-10. з бюджетом розвитку" xfId="80"/>
    <cellStyle name="Обычный_дод 6 із заборг" xfId="81"/>
    <cellStyle name="Обычный_дод 8 до бюджету 2012" xfId="82"/>
    <cellStyle name="Followed Hyperlink" xfId="83"/>
    <cellStyle name="Плохой" xfId="84"/>
    <cellStyle name="Пояснение" xfId="85"/>
    <cellStyle name="Примечание" xfId="86"/>
    <cellStyle name="Percent" xfId="87"/>
    <cellStyle name="Связанная ячейка" xfId="88"/>
    <cellStyle name="Стиль 1" xfId="89"/>
    <cellStyle name="Текст предупреждения" xfId="90"/>
    <cellStyle name="Comma" xfId="91"/>
    <cellStyle name="Comma [0]" xfId="92"/>
    <cellStyle name="Хороший" xfId="9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75"/>
  <sheetViews>
    <sheetView tabSelected="1" zoomScale="55" zoomScaleNormal="55" zoomScalePageLayoutView="0" workbookViewId="0" topLeftCell="A1">
      <selection activeCell="AC9" sqref="AC9"/>
    </sheetView>
  </sheetViews>
  <sheetFormatPr defaultColWidth="9.33203125" defaultRowHeight="12.75"/>
  <cols>
    <col min="1" max="1" width="10.66015625" style="0" bestFit="1" customWidth="1"/>
    <col min="2" max="2" width="119.16015625" style="0" customWidth="1"/>
    <col min="3" max="3" width="20" style="0" hidden="1" customWidth="1"/>
    <col min="4" max="4" width="16.16015625" style="0" hidden="1" customWidth="1"/>
    <col min="5" max="5" width="25.83203125" style="0" hidden="1" customWidth="1"/>
    <col min="6" max="6" width="26.16015625" style="0" hidden="1" customWidth="1"/>
    <col min="7" max="9" width="20.33203125" style="0" hidden="1" customWidth="1"/>
    <col min="10" max="10" width="22.16015625" style="0" hidden="1" customWidth="1"/>
    <col min="11" max="12" width="20.33203125" style="0" hidden="1" customWidth="1"/>
    <col min="13" max="13" width="35.33203125" style="0" customWidth="1"/>
    <col min="14" max="14" width="32.16015625" style="0" customWidth="1"/>
    <col min="15" max="15" width="30.33203125" style="0" customWidth="1"/>
    <col min="16" max="16" width="28.83203125" style="0" customWidth="1"/>
    <col min="17" max="17" width="0.1640625" style="0" customWidth="1"/>
    <col min="18" max="18" width="27.33203125" style="0" customWidth="1"/>
    <col min="19" max="19" width="23.66015625" style="0" customWidth="1"/>
  </cols>
  <sheetData>
    <row r="1" spans="2:15" ht="54" customHeight="1">
      <c r="B1" s="100" t="s">
        <v>92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</row>
    <row r="2" spans="16:19" ht="28.5" customHeight="1">
      <c r="P2" s="86"/>
      <c r="R2" s="86"/>
      <c r="S2" s="71" t="s">
        <v>51</v>
      </c>
    </row>
    <row r="3" spans="1:19" ht="20.25" customHeight="1">
      <c r="A3" s="97" t="s">
        <v>16</v>
      </c>
      <c r="B3" s="97" t="s">
        <v>17</v>
      </c>
      <c r="C3" s="42" t="s">
        <v>18</v>
      </c>
      <c r="D3" s="42" t="s">
        <v>19</v>
      </c>
      <c r="E3" s="43" t="s">
        <v>20</v>
      </c>
      <c r="F3" s="42" t="s">
        <v>21</v>
      </c>
      <c r="G3" s="42" t="s">
        <v>22</v>
      </c>
      <c r="H3" s="97" t="s">
        <v>23</v>
      </c>
      <c r="I3" s="97" t="s">
        <v>24</v>
      </c>
      <c r="J3" s="97" t="s">
        <v>25</v>
      </c>
      <c r="K3" s="97" t="s">
        <v>26</v>
      </c>
      <c r="L3" s="97"/>
      <c r="M3" s="97"/>
      <c r="N3" s="106" t="s">
        <v>11</v>
      </c>
      <c r="O3" s="107" t="s">
        <v>12</v>
      </c>
      <c r="P3" s="108" t="s">
        <v>10</v>
      </c>
      <c r="Q3" s="108"/>
      <c r="R3" s="98" t="s">
        <v>110</v>
      </c>
      <c r="S3" s="111" t="s">
        <v>81</v>
      </c>
    </row>
    <row r="4" spans="1:19" ht="19.5">
      <c r="A4" s="97"/>
      <c r="B4" s="97"/>
      <c r="C4" s="14">
        <v>2</v>
      </c>
      <c r="D4" s="14">
        <v>3</v>
      </c>
      <c r="E4" s="15">
        <v>4</v>
      </c>
      <c r="F4" s="14">
        <v>3</v>
      </c>
      <c r="G4" s="14">
        <v>4</v>
      </c>
      <c r="H4" s="97"/>
      <c r="I4" s="97"/>
      <c r="J4" s="97"/>
      <c r="K4" s="97"/>
      <c r="L4" s="97"/>
      <c r="M4" s="97"/>
      <c r="N4" s="106"/>
      <c r="O4" s="106"/>
      <c r="P4" s="109" t="s">
        <v>15</v>
      </c>
      <c r="Q4" s="110"/>
      <c r="R4" s="99"/>
      <c r="S4" s="112"/>
    </row>
    <row r="5" spans="1:19" ht="15.75">
      <c r="A5" s="44">
        <v>1</v>
      </c>
      <c r="B5" s="44">
        <v>2</v>
      </c>
      <c r="C5" s="45"/>
      <c r="D5" s="45"/>
      <c r="E5" s="46"/>
      <c r="F5" s="45"/>
      <c r="G5" s="45"/>
      <c r="H5" s="44"/>
      <c r="I5" s="44"/>
      <c r="J5" s="44"/>
      <c r="K5" s="44"/>
      <c r="L5" s="44"/>
      <c r="M5" s="44">
        <v>3</v>
      </c>
      <c r="N5" s="57">
        <v>4</v>
      </c>
      <c r="O5" s="57">
        <v>5</v>
      </c>
      <c r="P5" s="76">
        <v>6</v>
      </c>
      <c r="Q5" s="79"/>
      <c r="R5" s="56"/>
      <c r="S5" s="56"/>
    </row>
    <row r="6" spans="1:19" ht="35.25" customHeight="1">
      <c r="A6" s="102" t="s">
        <v>27</v>
      </c>
      <c r="B6" s="103"/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O6" s="104"/>
      <c r="P6" s="104"/>
      <c r="Q6" s="104"/>
      <c r="R6" s="104"/>
      <c r="S6" s="105"/>
    </row>
    <row r="7" spans="1:19" ht="54.75" customHeight="1">
      <c r="A7" s="74">
        <v>1</v>
      </c>
      <c r="B7" s="62" t="s">
        <v>52</v>
      </c>
      <c r="C7" s="9" t="s">
        <v>14</v>
      </c>
      <c r="D7" s="63"/>
      <c r="E7" s="63"/>
      <c r="F7" s="63"/>
      <c r="G7" s="63"/>
      <c r="H7" s="63"/>
      <c r="I7" s="63"/>
      <c r="J7" s="63"/>
      <c r="K7" s="63"/>
      <c r="L7" s="63"/>
      <c r="M7" s="96">
        <f>SUM(M8:M24)</f>
        <v>11521275</v>
      </c>
      <c r="N7" s="94"/>
      <c r="O7" s="96">
        <f>SUM(O8:O24)</f>
        <v>11521275</v>
      </c>
      <c r="P7" s="96">
        <f>SUM(P8:P24)</f>
        <v>11521275</v>
      </c>
      <c r="Q7" s="95"/>
      <c r="R7" s="96">
        <f>SUM(R8:R24)</f>
        <v>1444249.99</v>
      </c>
      <c r="S7" s="96">
        <f>SUM(S8:S24)</f>
        <v>39.52906219844722</v>
      </c>
    </row>
    <row r="8" spans="1:19" ht="24.75" customHeight="1">
      <c r="A8" s="92" t="s">
        <v>76</v>
      </c>
      <c r="B8" s="64" t="s">
        <v>94</v>
      </c>
      <c r="C8" s="9"/>
      <c r="D8" s="63"/>
      <c r="E8" s="63"/>
      <c r="F8" s="63"/>
      <c r="G8" s="63"/>
      <c r="H8" s="63"/>
      <c r="I8" s="63"/>
      <c r="J8" s="63"/>
      <c r="K8" s="63"/>
      <c r="L8" s="63"/>
      <c r="M8" s="77">
        <f aca="true" t="shared" si="0" ref="M8:M23">N8+O8</f>
        <v>105000</v>
      </c>
      <c r="N8" s="48"/>
      <c r="O8" s="93">
        <v>105000</v>
      </c>
      <c r="P8" s="93">
        <v>105000</v>
      </c>
      <c r="Q8" s="95"/>
      <c r="R8" s="89">
        <v>0</v>
      </c>
      <c r="S8" s="90">
        <f>R8/M8*100</f>
        <v>0</v>
      </c>
    </row>
    <row r="9" spans="1:19" ht="73.5" customHeight="1">
      <c r="A9" s="92" t="s">
        <v>48</v>
      </c>
      <c r="B9" s="64" t="s">
        <v>55</v>
      </c>
      <c r="C9" s="9"/>
      <c r="D9" s="63"/>
      <c r="E9" s="63"/>
      <c r="F9" s="63"/>
      <c r="G9" s="63"/>
      <c r="H9" s="63"/>
      <c r="I9" s="63"/>
      <c r="J9" s="63"/>
      <c r="K9" s="63"/>
      <c r="L9" s="63"/>
      <c r="M9" s="77">
        <v>9468633</v>
      </c>
      <c r="N9" s="48"/>
      <c r="O9" s="93">
        <v>9468633</v>
      </c>
      <c r="P9" s="93">
        <v>9468633</v>
      </c>
      <c r="Q9" s="95"/>
      <c r="R9" s="89">
        <f>40080+66627.6+549354+4843.2+3007.2+44088+151389.6+155788.8+192500.76+75044.51+109395.49</f>
        <v>1392119.16</v>
      </c>
      <c r="S9" s="90">
        <f aca="true" t="shared" si="1" ref="S9:S67">R9/M9*100</f>
        <v>14.702430224088312</v>
      </c>
    </row>
    <row r="10" spans="1:19" ht="29.25" customHeight="1">
      <c r="A10" s="92" t="s">
        <v>72</v>
      </c>
      <c r="B10" s="64" t="s">
        <v>56</v>
      </c>
      <c r="C10" s="9"/>
      <c r="D10" s="63"/>
      <c r="E10" s="63"/>
      <c r="F10" s="63"/>
      <c r="G10" s="63"/>
      <c r="H10" s="63"/>
      <c r="I10" s="63"/>
      <c r="J10" s="63"/>
      <c r="K10" s="63"/>
      <c r="L10" s="63"/>
      <c r="M10" s="77">
        <f t="shared" si="0"/>
        <v>150000</v>
      </c>
      <c r="N10" s="48"/>
      <c r="O10" s="93">
        <v>150000</v>
      </c>
      <c r="P10" s="93">
        <v>150000</v>
      </c>
      <c r="Q10" s="95"/>
      <c r="R10" s="89">
        <v>0</v>
      </c>
      <c r="S10" s="90">
        <f t="shared" si="1"/>
        <v>0</v>
      </c>
    </row>
    <row r="11" spans="1:19" ht="29.25" customHeight="1">
      <c r="A11" s="92"/>
      <c r="B11" s="64" t="s">
        <v>106</v>
      </c>
      <c r="C11" s="9"/>
      <c r="D11" s="63"/>
      <c r="E11" s="63"/>
      <c r="F11" s="63"/>
      <c r="G11" s="63"/>
      <c r="H11" s="63"/>
      <c r="I11" s="63"/>
      <c r="J11" s="63"/>
      <c r="K11" s="63"/>
      <c r="L11" s="63"/>
      <c r="M11" s="77">
        <v>60000</v>
      </c>
      <c r="N11" s="48"/>
      <c r="O11" s="93">
        <v>60000</v>
      </c>
      <c r="P11" s="93">
        <v>60000</v>
      </c>
      <c r="Q11" s="95"/>
      <c r="R11" s="89">
        <v>0</v>
      </c>
      <c r="S11" s="90">
        <v>0</v>
      </c>
    </row>
    <row r="12" spans="1:19" ht="29.25" customHeight="1">
      <c r="A12" s="92"/>
      <c r="B12" s="64" t="s">
        <v>107</v>
      </c>
      <c r="C12" s="9"/>
      <c r="D12" s="63"/>
      <c r="E12" s="63"/>
      <c r="F12" s="63"/>
      <c r="G12" s="63"/>
      <c r="H12" s="63"/>
      <c r="I12" s="63"/>
      <c r="J12" s="63"/>
      <c r="K12" s="63"/>
      <c r="L12" s="63"/>
      <c r="M12" s="77">
        <v>78000</v>
      </c>
      <c r="N12" s="48"/>
      <c r="O12" s="93">
        <v>78000</v>
      </c>
      <c r="P12" s="93">
        <v>78000</v>
      </c>
      <c r="Q12" s="95"/>
      <c r="R12" s="89">
        <v>2922</v>
      </c>
      <c r="S12" s="90">
        <v>0</v>
      </c>
    </row>
    <row r="13" spans="1:19" ht="37.5">
      <c r="A13" s="92"/>
      <c r="B13" s="64" t="s">
        <v>108</v>
      </c>
      <c r="C13" s="9"/>
      <c r="D13" s="63"/>
      <c r="E13" s="63"/>
      <c r="F13" s="63"/>
      <c r="G13" s="63"/>
      <c r="H13" s="63"/>
      <c r="I13" s="63"/>
      <c r="J13" s="63"/>
      <c r="K13" s="63"/>
      <c r="L13" s="63"/>
      <c r="M13" s="77">
        <v>100000</v>
      </c>
      <c r="N13" s="48"/>
      <c r="O13" s="93">
        <v>100000</v>
      </c>
      <c r="P13" s="93">
        <v>100000</v>
      </c>
      <c r="Q13" s="95"/>
      <c r="R13" s="89">
        <v>0</v>
      </c>
      <c r="S13" s="90">
        <v>0</v>
      </c>
    </row>
    <row r="14" spans="1:19" ht="42.75" customHeight="1">
      <c r="A14" s="92"/>
      <c r="B14" s="64" t="s">
        <v>109</v>
      </c>
      <c r="C14" s="9"/>
      <c r="D14" s="63"/>
      <c r="E14" s="63"/>
      <c r="F14" s="63"/>
      <c r="G14" s="63"/>
      <c r="H14" s="63"/>
      <c r="I14" s="63"/>
      <c r="J14" s="63"/>
      <c r="K14" s="63"/>
      <c r="L14" s="63"/>
      <c r="M14" s="77">
        <v>100000</v>
      </c>
      <c r="N14" s="48"/>
      <c r="O14" s="93">
        <v>100000</v>
      </c>
      <c r="P14" s="93">
        <v>100000</v>
      </c>
      <c r="Q14" s="95"/>
      <c r="R14" s="89">
        <v>0</v>
      </c>
      <c r="S14" s="90">
        <v>0</v>
      </c>
    </row>
    <row r="15" spans="1:19" ht="26.25" customHeight="1">
      <c r="A15" s="92" t="s">
        <v>73</v>
      </c>
      <c r="B15" s="64" t="s">
        <v>57</v>
      </c>
      <c r="C15" s="18"/>
      <c r="D15" s="18"/>
      <c r="E15" s="18"/>
      <c r="F15" s="18"/>
      <c r="G15" s="19"/>
      <c r="H15" s="19"/>
      <c r="I15" s="19"/>
      <c r="J15" s="19"/>
      <c r="K15" s="19"/>
      <c r="L15" s="19"/>
      <c r="M15" s="78">
        <f t="shared" si="0"/>
        <v>200000</v>
      </c>
      <c r="N15" s="48"/>
      <c r="O15" s="93">
        <v>200000</v>
      </c>
      <c r="P15" s="93">
        <v>200000</v>
      </c>
      <c r="Q15" s="95"/>
      <c r="R15" s="89">
        <v>0</v>
      </c>
      <c r="S15" s="90">
        <f t="shared" si="1"/>
        <v>0</v>
      </c>
    </row>
    <row r="16" spans="1:19" ht="36.75" customHeight="1">
      <c r="A16" s="92" t="s">
        <v>74</v>
      </c>
      <c r="B16" s="65" t="s">
        <v>95</v>
      </c>
      <c r="C16" s="18"/>
      <c r="D16" s="18"/>
      <c r="E16" s="18"/>
      <c r="F16" s="18"/>
      <c r="G16" s="19"/>
      <c r="H16" s="19"/>
      <c r="I16" s="19"/>
      <c r="J16" s="19"/>
      <c r="K16" s="19"/>
      <c r="L16" s="19"/>
      <c r="M16" s="78">
        <f t="shared" si="0"/>
        <v>105000</v>
      </c>
      <c r="N16" s="48"/>
      <c r="O16" s="93">
        <v>105000</v>
      </c>
      <c r="P16" s="93">
        <v>105000</v>
      </c>
      <c r="Q16" s="95"/>
      <c r="R16" s="89">
        <v>0</v>
      </c>
      <c r="S16" s="90">
        <f t="shared" si="1"/>
        <v>0</v>
      </c>
    </row>
    <row r="17" spans="1:19" ht="34.5" customHeight="1">
      <c r="A17" s="92" t="s">
        <v>75</v>
      </c>
      <c r="B17" s="65" t="s">
        <v>96</v>
      </c>
      <c r="C17" s="18"/>
      <c r="D17" s="18"/>
      <c r="E17" s="18"/>
      <c r="F17" s="18"/>
      <c r="G17" s="19"/>
      <c r="H17" s="19"/>
      <c r="I17" s="19"/>
      <c r="J17" s="19"/>
      <c r="K17" s="19"/>
      <c r="L17" s="19"/>
      <c r="M17" s="78">
        <f t="shared" si="0"/>
        <v>105000</v>
      </c>
      <c r="N17" s="48"/>
      <c r="O17" s="93">
        <v>105000</v>
      </c>
      <c r="P17" s="93">
        <v>105000</v>
      </c>
      <c r="Q17" s="95"/>
      <c r="R17" s="89">
        <v>0</v>
      </c>
      <c r="S17" s="90">
        <f t="shared" si="1"/>
        <v>0</v>
      </c>
    </row>
    <row r="18" spans="1:19" ht="33.75" customHeight="1">
      <c r="A18" s="92" t="s">
        <v>77</v>
      </c>
      <c r="B18" s="65" t="s">
        <v>58</v>
      </c>
      <c r="C18" s="18"/>
      <c r="D18" s="18"/>
      <c r="E18" s="18"/>
      <c r="F18" s="18"/>
      <c r="G18" s="19"/>
      <c r="H18" s="19"/>
      <c r="I18" s="19"/>
      <c r="J18" s="19"/>
      <c r="K18" s="19"/>
      <c r="L18" s="19"/>
      <c r="M18" s="78">
        <f t="shared" si="0"/>
        <v>200000</v>
      </c>
      <c r="N18" s="48"/>
      <c r="O18" s="93">
        <v>200000</v>
      </c>
      <c r="P18" s="93">
        <v>200000</v>
      </c>
      <c r="Q18" s="95"/>
      <c r="R18" s="89">
        <f>3090+7209.99</f>
        <v>10299.99</v>
      </c>
      <c r="S18" s="90">
        <f t="shared" si="1"/>
        <v>5.149995</v>
      </c>
    </row>
    <row r="19" spans="1:19" ht="34.5" customHeight="1">
      <c r="A19" s="92" t="s">
        <v>78</v>
      </c>
      <c r="B19" s="65" t="s">
        <v>97</v>
      </c>
      <c r="C19" s="18"/>
      <c r="D19" s="18"/>
      <c r="E19" s="18"/>
      <c r="F19" s="18"/>
      <c r="G19" s="19"/>
      <c r="H19" s="19"/>
      <c r="I19" s="19"/>
      <c r="J19" s="19"/>
      <c r="K19" s="19"/>
      <c r="L19" s="19"/>
      <c r="M19" s="78">
        <f t="shared" si="0"/>
        <v>159367</v>
      </c>
      <c r="N19" s="48"/>
      <c r="O19" s="93">
        <v>159367</v>
      </c>
      <c r="P19" s="93">
        <v>159367</v>
      </c>
      <c r="Q19" s="95"/>
      <c r="R19" s="89">
        <f>12009.56+4926</f>
        <v>16935.559999999998</v>
      </c>
      <c r="S19" s="90">
        <f t="shared" si="1"/>
        <v>10.626767147527403</v>
      </c>
    </row>
    <row r="20" spans="1:19" ht="34.5" customHeight="1">
      <c r="A20" s="92" t="s">
        <v>79</v>
      </c>
      <c r="B20" s="65" t="s">
        <v>98</v>
      </c>
      <c r="C20" s="18"/>
      <c r="D20" s="18"/>
      <c r="E20" s="18"/>
      <c r="F20" s="18"/>
      <c r="G20" s="19"/>
      <c r="H20" s="19"/>
      <c r="I20" s="19"/>
      <c r="J20" s="19"/>
      <c r="K20" s="19"/>
      <c r="L20" s="19"/>
      <c r="M20" s="78">
        <f t="shared" si="0"/>
        <v>60000</v>
      </c>
      <c r="N20" s="48"/>
      <c r="O20" s="93">
        <v>60000</v>
      </c>
      <c r="P20" s="93">
        <v>60000</v>
      </c>
      <c r="Q20" s="95"/>
      <c r="R20" s="89">
        <v>2076</v>
      </c>
      <c r="S20" s="90">
        <f t="shared" si="1"/>
        <v>3.46</v>
      </c>
    </row>
    <row r="21" spans="1:19" ht="34.5" customHeight="1">
      <c r="A21" s="92" t="s">
        <v>82</v>
      </c>
      <c r="B21" s="65" t="s">
        <v>99</v>
      </c>
      <c r="C21" s="18"/>
      <c r="D21" s="18"/>
      <c r="E21" s="18"/>
      <c r="F21" s="18"/>
      <c r="G21" s="19"/>
      <c r="H21" s="19"/>
      <c r="I21" s="19"/>
      <c r="J21" s="19"/>
      <c r="K21" s="19"/>
      <c r="L21" s="19"/>
      <c r="M21" s="78">
        <f t="shared" si="0"/>
        <v>390275</v>
      </c>
      <c r="N21" s="48"/>
      <c r="O21" s="93">
        <v>390275</v>
      </c>
      <c r="P21" s="93">
        <v>390275</v>
      </c>
      <c r="Q21" s="95"/>
      <c r="R21" s="89">
        <f>5921+13816.52</f>
        <v>19737.52</v>
      </c>
      <c r="S21" s="90">
        <f t="shared" si="1"/>
        <v>5.057336493498175</v>
      </c>
    </row>
    <row r="22" spans="1:19" ht="39" customHeight="1">
      <c r="A22" s="92" t="s">
        <v>83</v>
      </c>
      <c r="B22" s="65" t="s">
        <v>100</v>
      </c>
      <c r="C22" s="18"/>
      <c r="D22" s="18"/>
      <c r="E22" s="18"/>
      <c r="F22" s="18"/>
      <c r="G22" s="19"/>
      <c r="H22" s="19"/>
      <c r="I22" s="19"/>
      <c r="J22" s="19"/>
      <c r="K22" s="19"/>
      <c r="L22" s="19"/>
      <c r="M22" s="78">
        <f t="shared" si="0"/>
        <v>30000</v>
      </c>
      <c r="N22" s="48"/>
      <c r="O22" s="93">
        <v>30000</v>
      </c>
      <c r="P22" s="93">
        <v>30000</v>
      </c>
      <c r="Q22" s="95"/>
      <c r="R22" s="89">
        <v>159.76</v>
      </c>
      <c r="S22" s="90">
        <f t="shared" si="1"/>
        <v>0.5325333333333333</v>
      </c>
    </row>
    <row r="23" spans="1:19" ht="39" customHeight="1">
      <c r="A23" s="92" t="s">
        <v>101</v>
      </c>
      <c r="B23" s="65" t="s">
        <v>102</v>
      </c>
      <c r="C23" s="18"/>
      <c r="D23" s="18"/>
      <c r="E23" s="18"/>
      <c r="F23" s="18"/>
      <c r="G23" s="19"/>
      <c r="H23" s="19"/>
      <c r="I23" s="19"/>
      <c r="J23" s="19"/>
      <c r="K23" s="19"/>
      <c r="L23" s="19"/>
      <c r="M23" s="78">
        <f t="shared" si="0"/>
        <v>105000</v>
      </c>
      <c r="N23" s="48"/>
      <c r="O23" s="93">
        <v>105000</v>
      </c>
      <c r="P23" s="93">
        <v>105000</v>
      </c>
      <c r="Q23" s="95"/>
      <c r="R23" s="89">
        <v>0</v>
      </c>
      <c r="S23" s="90">
        <f t="shared" si="1"/>
        <v>0</v>
      </c>
    </row>
    <row r="24" spans="1:19" ht="39" customHeight="1">
      <c r="A24" s="92" t="s">
        <v>103</v>
      </c>
      <c r="B24" s="65" t="s">
        <v>104</v>
      </c>
      <c r="C24" s="18"/>
      <c r="D24" s="18"/>
      <c r="E24" s="18"/>
      <c r="F24" s="18"/>
      <c r="G24" s="19"/>
      <c r="H24" s="19"/>
      <c r="I24" s="19"/>
      <c r="J24" s="19"/>
      <c r="K24" s="19"/>
      <c r="L24" s="19"/>
      <c r="M24" s="78">
        <v>105000</v>
      </c>
      <c r="N24" s="48"/>
      <c r="O24" s="93">
        <v>105000</v>
      </c>
      <c r="P24" s="93">
        <v>105000</v>
      </c>
      <c r="Q24" s="95"/>
      <c r="R24" s="89">
        <v>0</v>
      </c>
      <c r="S24" s="90">
        <f t="shared" si="1"/>
        <v>0</v>
      </c>
    </row>
    <row r="25" spans="1:19" ht="21" customHeight="1">
      <c r="A25" s="12">
        <v>2</v>
      </c>
      <c r="B25" s="62" t="s">
        <v>59</v>
      </c>
      <c r="C25" s="18"/>
      <c r="D25" s="18"/>
      <c r="E25" s="18"/>
      <c r="F25" s="18"/>
      <c r="G25" s="19"/>
      <c r="H25" s="19"/>
      <c r="I25" s="19"/>
      <c r="J25" s="19"/>
      <c r="K25" s="19"/>
      <c r="L25" s="19"/>
      <c r="M25" s="60">
        <f>M26</f>
        <v>2795635</v>
      </c>
      <c r="N25" s="47"/>
      <c r="O25" s="69">
        <f>M25</f>
        <v>2795635</v>
      </c>
      <c r="P25" s="69">
        <f>O25</f>
        <v>2795635</v>
      </c>
      <c r="R25" s="81">
        <f>R26</f>
        <v>15377.02</v>
      </c>
      <c r="S25" s="82">
        <f t="shared" si="1"/>
        <v>0.5500367537250034</v>
      </c>
    </row>
    <row r="26" spans="1:19" ht="66" customHeight="1">
      <c r="A26" s="55" t="s">
        <v>49</v>
      </c>
      <c r="B26" s="65" t="s">
        <v>60</v>
      </c>
      <c r="C26" s="18"/>
      <c r="D26" s="18"/>
      <c r="E26" s="18"/>
      <c r="F26" s="18"/>
      <c r="G26" s="19"/>
      <c r="H26" s="19"/>
      <c r="I26" s="19"/>
      <c r="J26" s="19"/>
      <c r="K26" s="19"/>
      <c r="L26" s="19"/>
      <c r="M26" s="78">
        <f>10000000-6236632-767733-200000</f>
        <v>2795635</v>
      </c>
      <c r="N26" s="48"/>
      <c r="O26" s="66">
        <f>M26</f>
        <v>2795635</v>
      </c>
      <c r="P26" s="66">
        <f>O26</f>
        <v>2795635</v>
      </c>
      <c r="Q26" s="66">
        <f>P26</f>
        <v>2795635</v>
      </c>
      <c r="R26" s="66">
        <v>15377.02</v>
      </c>
      <c r="S26" s="83">
        <f t="shared" si="1"/>
        <v>0.5500367537250034</v>
      </c>
    </row>
    <row r="27" spans="1:19" ht="19.5">
      <c r="A27" s="8">
        <v>3</v>
      </c>
      <c r="B27" s="9" t="s">
        <v>13</v>
      </c>
      <c r="C27" s="10"/>
      <c r="D27" s="10"/>
      <c r="E27" s="11"/>
      <c r="F27" s="10"/>
      <c r="G27" s="10"/>
      <c r="H27" s="12"/>
      <c r="I27" s="12"/>
      <c r="J27" s="12"/>
      <c r="K27" s="12"/>
      <c r="L27" s="12"/>
      <c r="M27" s="60">
        <f aca="true" t="shared" si="2" ref="M27:M62">N27+O27</f>
        <v>28400</v>
      </c>
      <c r="N27" s="47">
        <f>N28</f>
        <v>28400</v>
      </c>
      <c r="O27" s="47">
        <f>O28</f>
        <v>0</v>
      </c>
      <c r="P27" s="47">
        <f>P28</f>
        <v>0</v>
      </c>
      <c r="R27" s="47">
        <f>R28</f>
        <v>0</v>
      </c>
      <c r="S27" s="82">
        <f t="shared" si="1"/>
        <v>0</v>
      </c>
    </row>
    <row r="28" spans="1:19" ht="19.5">
      <c r="A28" s="55" t="s">
        <v>54</v>
      </c>
      <c r="B28" s="13" t="s">
        <v>28</v>
      </c>
      <c r="C28" s="14"/>
      <c r="D28" s="14"/>
      <c r="E28" s="15"/>
      <c r="F28" s="14"/>
      <c r="G28" s="14"/>
      <c r="H28" s="16"/>
      <c r="I28" s="16"/>
      <c r="J28" s="16"/>
      <c r="K28" s="16"/>
      <c r="L28" s="16"/>
      <c r="M28" s="59">
        <f t="shared" si="2"/>
        <v>28400</v>
      </c>
      <c r="N28" s="48">
        <v>28400</v>
      </c>
      <c r="O28" s="48">
        <v>0</v>
      </c>
      <c r="P28" s="48">
        <v>0</v>
      </c>
      <c r="R28" s="48">
        <v>0</v>
      </c>
      <c r="S28" s="83">
        <f t="shared" si="1"/>
        <v>0</v>
      </c>
    </row>
    <row r="29" spans="1:19" ht="19.5">
      <c r="A29" s="8">
        <v>4</v>
      </c>
      <c r="B29" s="9" t="s">
        <v>14</v>
      </c>
      <c r="C29" s="10"/>
      <c r="D29" s="10"/>
      <c r="E29" s="11"/>
      <c r="F29" s="10"/>
      <c r="G29" s="10"/>
      <c r="H29" s="12"/>
      <c r="I29" s="12"/>
      <c r="J29" s="12"/>
      <c r="K29" s="12"/>
      <c r="L29" s="12"/>
      <c r="M29" s="60">
        <f t="shared" si="2"/>
        <v>79496688.82000001</v>
      </c>
      <c r="N29" s="47">
        <f>N30+N34+N40+N44+N48+N53+N59+N50+N56+N60+N51+N61+N52+N62+N63</f>
        <v>79496688.82000001</v>
      </c>
      <c r="O29" s="73">
        <f>O63</f>
        <v>0</v>
      </c>
      <c r="P29" s="73">
        <f>P63</f>
        <v>0</v>
      </c>
      <c r="R29" s="47">
        <f>R30+R34+R40+R44+R48+R53+R59+R50+R56+R60+R51+R61+R63+R62+R52</f>
        <v>46704886.81</v>
      </c>
      <c r="S29" s="82">
        <f t="shared" si="1"/>
        <v>58.750732267291426</v>
      </c>
    </row>
    <row r="30" spans="1:19" ht="18.75">
      <c r="A30" s="38" t="s">
        <v>53</v>
      </c>
      <c r="B30" s="17" t="s">
        <v>0</v>
      </c>
      <c r="C30" s="18">
        <v>4945</v>
      </c>
      <c r="D30" s="18" t="e">
        <f>4797.2+#REF!</f>
        <v>#REF!</v>
      </c>
      <c r="E30" s="18">
        <v>516.2</v>
      </c>
      <c r="F30" s="18">
        <v>4326</v>
      </c>
      <c r="G30" s="19">
        <f>7616.03-3700.736</f>
        <v>3915.294</v>
      </c>
      <c r="H30" s="19">
        <v>3323</v>
      </c>
      <c r="I30" s="19">
        <v>4326</v>
      </c>
      <c r="J30" s="19" t="s">
        <v>29</v>
      </c>
      <c r="K30" s="19" t="s">
        <v>29</v>
      </c>
      <c r="L30" s="19" t="s">
        <v>29</v>
      </c>
      <c r="M30" s="59">
        <f t="shared" si="2"/>
        <v>7956400</v>
      </c>
      <c r="N30" s="48">
        <f>N31+N32+N33</f>
        <v>7956400</v>
      </c>
      <c r="O30" s="56"/>
      <c r="P30" s="56"/>
      <c r="R30" s="48">
        <f>R31+R32+R33</f>
        <v>4914078.79</v>
      </c>
      <c r="S30" s="83">
        <f t="shared" si="1"/>
        <v>61.7625909959278</v>
      </c>
    </row>
    <row r="31" spans="1:19" ht="18.75">
      <c r="A31" s="51"/>
      <c r="B31" s="20" t="s">
        <v>30</v>
      </c>
      <c r="C31" s="21"/>
      <c r="D31" s="21"/>
      <c r="E31" s="21"/>
      <c r="F31" s="21"/>
      <c r="G31" s="22"/>
      <c r="H31" s="22"/>
      <c r="I31" s="22"/>
      <c r="J31" s="22"/>
      <c r="K31" s="22"/>
      <c r="L31" s="22"/>
      <c r="M31" s="70">
        <f t="shared" si="2"/>
        <v>3915300</v>
      </c>
      <c r="N31" s="49">
        <v>3915300</v>
      </c>
      <c r="O31" s="56"/>
      <c r="P31" s="56"/>
      <c r="R31" s="49">
        <f>377576+371325+333575+309994.8+343665.2+183849+382449.6</f>
        <v>2302434.6</v>
      </c>
      <c r="S31" s="87">
        <f t="shared" si="1"/>
        <v>58.80608382499426</v>
      </c>
    </row>
    <row r="32" spans="1:19" ht="18.75">
      <c r="A32" s="51"/>
      <c r="B32" s="20" t="s">
        <v>31</v>
      </c>
      <c r="C32" s="21"/>
      <c r="D32" s="21"/>
      <c r="E32" s="21"/>
      <c r="F32" s="21"/>
      <c r="G32" s="22"/>
      <c r="H32" s="22"/>
      <c r="I32" s="22"/>
      <c r="J32" s="22"/>
      <c r="K32" s="22"/>
      <c r="L32" s="22"/>
      <c r="M32" s="70">
        <f t="shared" si="2"/>
        <v>3700700</v>
      </c>
      <c r="N32" s="49">
        <v>3700700</v>
      </c>
      <c r="O32" s="56"/>
      <c r="P32" s="56"/>
      <c r="R32" s="49">
        <f>368514.26+320005.16+308997.12+245452.4+488986.08+424493.2+319141.43</f>
        <v>2475589.6500000004</v>
      </c>
      <c r="S32" s="87">
        <f t="shared" si="1"/>
        <v>66.89517253492583</v>
      </c>
    </row>
    <row r="33" spans="1:19" ht="37.5">
      <c r="A33" s="51"/>
      <c r="B33" s="5" t="s">
        <v>32</v>
      </c>
      <c r="C33" s="21"/>
      <c r="D33" s="21"/>
      <c r="E33" s="21"/>
      <c r="F33" s="21"/>
      <c r="G33" s="22"/>
      <c r="H33" s="22"/>
      <c r="I33" s="22"/>
      <c r="J33" s="22"/>
      <c r="K33" s="22"/>
      <c r="L33" s="22"/>
      <c r="M33" s="70">
        <f t="shared" si="2"/>
        <v>340400</v>
      </c>
      <c r="N33" s="49">
        <v>340400</v>
      </c>
      <c r="O33" s="56"/>
      <c r="P33" s="56"/>
      <c r="R33" s="49">
        <f>31760+32267.33+557+3492.67+30267.33+3492.67+2457.54+28267.33+3492.67</f>
        <v>136054.54</v>
      </c>
      <c r="S33" s="88">
        <f t="shared" si="1"/>
        <v>39.96901880141011</v>
      </c>
    </row>
    <row r="34" spans="1:19" ht="18.75">
      <c r="A34" s="38" t="s">
        <v>61</v>
      </c>
      <c r="B34" s="23" t="s">
        <v>1</v>
      </c>
      <c r="C34" s="18">
        <v>5449.4</v>
      </c>
      <c r="D34" s="18">
        <f>C34</f>
        <v>5449.4</v>
      </c>
      <c r="E34" s="18">
        <v>1012.4</v>
      </c>
      <c r="F34" s="18">
        <v>4437</v>
      </c>
      <c r="G34" s="19">
        <v>8582.5</v>
      </c>
      <c r="H34" s="19">
        <v>1513.5</v>
      </c>
      <c r="I34" s="19">
        <v>4437</v>
      </c>
      <c r="J34" s="19"/>
      <c r="K34" s="19"/>
      <c r="L34" s="19"/>
      <c r="M34" s="59">
        <f t="shared" si="2"/>
        <v>5469440</v>
      </c>
      <c r="N34" s="48">
        <f>N35+N36+N37+N38+N39</f>
        <v>5469440</v>
      </c>
      <c r="O34" s="56"/>
      <c r="P34" s="56"/>
      <c r="R34" s="48">
        <f>R35+R36+R37+R38+R39</f>
        <v>3297933.33</v>
      </c>
      <c r="S34" s="83">
        <f t="shared" si="1"/>
        <v>60.29745878919963</v>
      </c>
    </row>
    <row r="35" spans="1:19" ht="18.75">
      <c r="A35" s="51"/>
      <c r="B35" s="25" t="s">
        <v>33</v>
      </c>
      <c r="C35" s="21"/>
      <c r="D35" s="21"/>
      <c r="E35" s="21"/>
      <c r="F35" s="21"/>
      <c r="G35" s="22"/>
      <c r="H35" s="22"/>
      <c r="I35" s="22"/>
      <c r="J35" s="22"/>
      <c r="K35" s="22"/>
      <c r="L35" s="24"/>
      <c r="M35" s="70">
        <f t="shared" si="2"/>
        <v>1799360</v>
      </c>
      <c r="N35" s="50">
        <v>1799360</v>
      </c>
      <c r="O35" s="56"/>
      <c r="P35" s="56"/>
      <c r="R35" s="50">
        <f>217430.51+24131.1+75354.44+26310+83994+124498.5+49141.8+90561.58+85135+265612.24</f>
        <v>1042169.17</v>
      </c>
      <c r="S35" s="87">
        <f t="shared" si="1"/>
        <v>57.918880601991816</v>
      </c>
    </row>
    <row r="36" spans="1:19" ht="18.75">
      <c r="A36" s="51"/>
      <c r="B36" s="25" t="s">
        <v>34</v>
      </c>
      <c r="C36" s="21"/>
      <c r="D36" s="21"/>
      <c r="E36" s="21"/>
      <c r="F36" s="21"/>
      <c r="G36" s="22"/>
      <c r="H36" s="22"/>
      <c r="I36" s="22"/>
      <c r="J36" s="22"/>
      <c r="K36" s="22"/>
      <c r="L36" s="24"/>
      <c r="M36" s="70">
        <f t="shared" si="2"/>
        <v>143000</v>
      </c>
      <c r="N36" s="50">
        <f>45000+98000</f>
        <v>143000</v>
      </c>
      <c r="O36" s="56"/>
      <c r="P36" s="56" t="s">
        <v>105</v>
      </c>
      <c r="R36" s="50">
        <f>30000+97950+15000</f>
        <v>142950</v>
      </c>
      <c r="S36" s="87">
        <f t="shared" si="1"/>
        <v>99.96503496503496</v>
      </c>
    </row>
    <row r="37" spans="1:19" ht="37.5">
      <c r="A37" s="51"/>
      <c r="B37" s="20" t="s">
        <v>35</v>
      </c>
      <c r="C37" s="21"/>
      <c r="D37" s="21"/>
      <c r="E37" s="21"/>
      <c r="F37" s="21"/>
      <c r="G37" s="22"/>
      <c r="H37" s="22"/>
      <c r="I37" s="22"/>
      <c r="J37" s="22"/>
      <c r="K37" s="22"/>
      <c r="L37" s="24"/>
      <c r="M37" s="70">
        <f t="shared" si="2"/>
        <v>3030080</v>
      </c>
      <c r="N37" s="50">
        <f>1231480+1589000+180000+29600</f>
        <v>3030080</v>
      </c>
      <c r="O37" s="56"/>
      <c r="P37" s="56"/>
      <c r="R37" s="49">
        <f>95028.5+188463.6+68400+157936.81+158389.75+145896+29600+29783+198012+97921.6+193183.5+70992+147900+44992.5+21677.5+14703+58116+88392+107822+50854.4</f>
        <v>1968064.16</v>
      </c>
      <c r="S37" s="88">
        <f t="shared" si="1"/>
        <v>64.95089766606822</v>
      </c>
    </row>
    <row r="38" spans="1:19" ht="18.75">
      <c r="A38" s="51"/>
      <c r="B38" s="20" t="s">
        <v>36</v>
      </c>
      <c r="C38" s="21"/>
      <c r="D38" s="21"/>
      <c r="E38" s="21"/>
      <c r="F38" s="21"/>
      <c r="G38" s="22"/>
      <c r="H38" s="22"/>
      <c r="I38" s="22"/>
      <c r="J38" s="22"/>
      <c r="K38" s="22"/>
      <c r="L38" s="24"/>
      <c r="M38" s="70">
        <f t="shared" si="2"/>
        <v>427000</v>
      </c>
      <c r="N38" s="50">
        <f>252000+175000</f>
        <v>427000</v>
      </c>
      <c r="O38" s="56"/>
      <c r="P38" s="56"/>
      <c r="R38" s="50">
        <f>34750+28250+25000+31750+25000</f>
        <v>144750</v>
      </c>
      <c r="S38" s="87">
        <f t="shared" si="1"/>
        <v>33.89929742388759</v>
      </c>
    </row>
    <row r="39" spans="1:19" ht="18.75">
      <c r="A39" s="51"/>
      <c r="B39" s="20" t="s">
        <v>37</v>
      </c>
      <c r="C39" s="21"/>
      <c r="D39" s="21"/>
      <c r="E39" s="21"/>
      <c r="F39" s="21"/>
      <c r="G39" s="22"/>
      <c r="H39" s="22"/>
      <c r="I39" s="22"/>
      <c r="J39" s="22"/>
      <c r="K39" s="22"/>
      <c r="L39" s="24"/>
      <c r="M39" s="70">
        <f t="shared" si="2"/>
        <v>70000</v>
      </c>
      <c r="N39" s="50">
        <v>70000</v>
      </c>
      <c r="O39" s="56"/>
      <c r="P39" s="56"/>
      <c r="R39" s="50">
        <v>0</v>
      </c>
      <c r="S39" s="87">
        <f t="shared" si="1"/>
        <v>0</v>
      </c>
    </row>
    <row r="40" spans="1:19" ht="18.75">
      <c r="A40" s="38" t="s">
        <v>62</v>
      </c>
      <c r="B40" s="17" t="s">
        <v>38</v>
      </c>
      <c r="C40" s="18">
        <f>256.5+80.3</f>
        <v>336.8</v>
      </c>
      <c r="D40" s="18">
        <f>C40</f>
        <v>336.8</v>
      </c>
      <c r="E40" s="18">
        <f>74+23.5</f>
        <v>97.5</v>
      </c>
      <c r="F40" s="18">
        <f>D40-E40</f>
        <v>239.3</v>
      </c>
      <c r="G40" s="26">
        <f>1056.05-187.9-170</f>
        <v>698.15</v>
      </c>
      <c r="H40" s="26">
        <v>74.25</v>
      </c>
      <c r="I40" s="26">
        <v>239.3</v>
      </c>
      <c r="J40" s="26"/>
      <c r="K40" s="26" t="s">
        <v>29</v>
      </c>
      <c r="L40" s="26" t="s">
        <v>29</v>
      </c>
      <c r="M40" s="59">
        <f t="shared" si="2"/>
        <v>625900</v>
      </c>
      <c r="N40" s="48">
        <f>N41+N42+N43</f>
        <v>625900</v>
      </c>
      <c r="O40" s="56"/>
      <c r="P40" s="56"/>
      <c r="R40" s="48">
        <f>R41+R42+R43</f>
        <v>162159.35</v>
      </c>
      <c r="S40" s="83">
        <f t="shared" si="1"/>
        <v>25.908188208979073</v>
      </c>
    </row>
    <row r="41" spans="1:19" ht="18.75">
      <c r="A41" s="51"/>
      <c r="B41" s="20" t="s">
        <v>39</v>
      </c>
      <c r="C41" s="21"/>
      <c r="D41" s="21"/>
      <c r="E41" s="21"/>
      <c r="F41" s="21"/>
      <c r="G41" s="22"/>
      <c r="H41" s="27"/>
      <c r="I41" s="27"/>
      <c r="J41" s="22"/>
      <c r="K41" s="22"/>
      <c r="L41" s="22"/>
      <c r="M41" s="70">
        <f t="shared" si="2"/>
        <v>359256.29</v>
      </c>
      <c r="N41" s="49">
        <f>268000+91256.29</f>
        <v>359256.29</v>
      </c>
      <c r="O41" s="56"/>
      <c r="P41" s="56"/>
      <c r="R41" s="49">
        <f>18552.24+72107.68+23190.3</f>
        <v>113850.22</v>
      </c>
      <c r="S41" s="87">
        <f t="shared" si="1"/>
        <v>31.690529343271905</v>
      </c>
    </row>
    <row r="42" spans="1:19" ht="18.75">
      <c r="A42" s="51"/>
      <c r="B42" s="20" t="s">
        <v>40</v>
      </c>
      <c r="C42" s="21"/>
      <c r="D42" s="21"/>
      <c r="E42" s="21"/>
      <c r="F42" s="21"/>
      <c r="G42" s="22"/>
      <c r="H42" s="27"/>
      <c r="I42" s="27"/>
      <c r="J42" s="22"/>
      <c r="K42" s="22"/>
      <c r="L42" s="22"/>
      <c r="M42" s="70">
        <f t="shared" si="2"/>
        <v>78743.71</v>
      </c>
      <c r="N42" s="49">
        <f>170000-91256.29</f>
        <v>78743.71</v>
      </c>
      <c r="O42" s="56"/>
      <c r="P42" s="56"/>
      <c r="R42" s="49">
        <f>14766.18+14774.76</f>
        <v>29540.940000000002</v>
      </c>
      <c r="S42" s="87">
        <f t="shared" si="1"/>
        <v>37.51530122215476</v>
      </c>
    </row>
    <row r="43" spans="1:19" ht="18.75">
      <c r="A43" s="51"/>
      <c r="B43" s="25" t="s">
        <v>41</v>
      </c>
      <c r="C43" s="21">
        <f>173.3</f>
        <v>173.3</v>
      </c>
      <c r="D43" s="21">
        <f>173.3</f>
        <v>173.3</v>
      </c>
      <c r="E43" s="21">
        <v>83.4</v>
      </c>
      <c r="F43" s="21">
        <f>D43-E43</f>
        <v>89.9</v>
      </c>
      <c r="G43" s="22">
        <f>666.764-14.616-20</f>
        <v>632.148</v>
      </c>
      <c r="H43" s="22">
        <v>166.1</v>
      </c>
      <c r="I43" s="22">
        <v>89.9</v>
      </c>
      <c r="J43" s="22"/>
      <c r="K43" s="22" t="s">
        <v>29</v>
      </c>
      <c r="L43" s="22" t="s">
        <v>29</v>
      </c>
      <c r="M43" s="70">
        <f t="shared" si="2"/>
        <v>187900</v>
      </c>
      <c r="N43" s="30">
        <v>187900</v>
      </c>
      <c r="O43" s="56"/>
      <c r="P43" s="56"/>
      <c r="R43" s="30">
        <f>2357.42+16410.77</f>
        <v>18768.190000000002</v>
      </c>
      <c r="S43" s="87">
        <f t="shared" si="1"/>
        <v>9.988392762107505</v>
      </c>
    </row>
    <row r="44" spans="1:19" ht="17.25" customHeight="1">
      <c r="A44" s="38" t="s">
        <v>63</v>
      </c>
      <c r="B44" s="23" t="s">
        <v>42</v>
      </c>
      <c r="C44" s="18">
        <f>122.6+1881.1</f>
        <v>2003.6999999999998</v>
      </c>
      <c r="D44" s="18">
        <f>121.8+1840</f>
        <v>1961.8</v>
      </c>
      <c r="E44" s="18">
        <v>27.7</v>
      </c>
      <c r="F44" s="18">
        <f>D44-E44</f>
        <v>1934.1</v>
      </c>
      <c r="G44" s="19">
        <f>2239.093+25.0115+616.4775</f>
        <v>2880.582</v>
      </c>
      <c r="H44" s="19">
        <v>1332.8</v>
      </c>
      <c r="I44" s="18">
        <v>1934.1</v>
      </c>
      <c r="J44" s="19"/>
      <c r="K44" s="19" t="s">
        <v>29</v>
      </c>
      <c r="L44" s="19" t="s">
        <v>29</v>
      </c>
      <c r="M44" s="59">
        <f t="shared" si="2"/>
        <v>2123000</v>
      </c>
      <c r="N44" s="48">
        <f>N45+N46+N47</f>
        <v>2123000</v>
      </c>
      <c r="O44" s="56"/>
      <c r="P44" s="56"/>
      <c r="R44" s="48">
        <f>R45+R46+R47</f>
        <v>768553.49</v>
      </c>
      <c r="S44" s="83">
        <f t="shared" si="1"/>
        <v>36.201294865756005</v>
      </c>
    </row>
    <row r="45" spans="1:19" ht="37.5">
      <c r="A45" s="51"/>
      <c r="B45" s="6" t="s">
        <v>2</v>
      </c>
      <c r="C45" s="21"/>
      <c r="D45" s="21"/>
      <c r="E45" s="21"/>
      <c r="F45" s="21"/>
      <c r="G45" s="22"/>
      <c r="H45" s="22"/>
      <c r="I45" s="21"/>
      <c r="J45" s="22"/>
      <c r="K45" s="22"/>
      <c r="L45" s="22"/>
      <c r="M45" s="70">
        <f t="shared" si="2"/>
        <v>1984500</v>
      </c>
      <c r="N45" s="49">
        <f>1984500</f>
        <v>1984500</v>
      </c>
      <c r="O45" s="56"/>
      <c r="P45" s="56"/>
      <c r="R45" s="49">
        <f>197840.3+18507.64+57600+73630.54+35971.53+30920+76506.15+96247.25+38400+6300+15734.99+21980.11+73593.36+3495.25</f>
        <v>746727.12</v>
      </c>
      <c r="S45" s="88">
        <f t="shared" si="1"/>
        <v>37.627972789115645</v>
      </c>
    </row>
    <row r="46" spans="1:19" ht="18.75">
      <c r="A46" s="51"/>
      <c r="B46" s="20" t="s">
        <v>40</v>
      </c>
      <c r="C46" s="21"/>
      <c r="D46" s="21"/>
      <c r="E46" s="21"/>
      <c r="F46" s="21"/>
      <c r="G46" s="22"/>
      <c r="H46" s="22"/>
      <c r="I46" s="21"/>
      <c r="J46" s="22"/>
      <c r="K46" s="22"/>
      <c r="L46" s="22"/>
      <c r="M46" s="70">
        <f t="shared" si="2"/>
        <v>117815</v>
      </c>
      <c r="N46" s="49">
        <f>117815</f>
        <v>117815</v>
      </c>
      <c r="O46" s="56"/>
      <c r="P46" s="56"/>
      <c r="R46" s="49">
        <f>5874.96+10528.68+2678.52</f>
        <v>19082.16</v>
      </c>
      <c r="S46" s="87">
        <f t="shared" si="1"/>
        <v>16.196715189067607</v>
      </c>
    </row>
    <row r="47" spans="1:19" ht="18.75">
      <c r="A47" s="51"/>
      <c r="B47" s="25" t="s">
        <v>41</v>
      </c>
      <c r="C47" s="21">
        <v>22463.7</v>
      </c>
      <c r="D47" s="21">
        <f>7156.8+15302.9</f>
        <v>22459.7</v>
      </c>
      <c r="E47" s="21">
        <f>1375.6+2420.3</f>
        <v>3795.9</v>
      </c>
      <c r="F47" s="21">
        <v>18663.8</v>
      </c>
      <c r="G47" s="22">
        <v>26758.69305</v>
      </c>
      <c r="H47" s="22" t="e">
        <f>#REF!+#REF!+#REF!+#REF!</f>
        <v>#REF!</v>
      </c>
      <c r="I47" s="22" t="e">
        <f>#REF!+#REF!+#REF!+#REF!</f>
        <v>#REF!</v>
      </c>
      <c r="J47" s="22"/>
      <c r="K47" s="22" t="s">
        <v>29</v>
      </c>
      <c r="L47" s="22" t="s">
        <v>29</v>
      </c>
      <c r="M47" s="70">
        <f t="shared" si="2"/>
        <v>20685</v>
      </c>
      <c r="N47" s="30">
        <v>20685</v>
      </c>
      <c r="O47" s="56"/>
      <c r="P47" s="56"/>
      <c r="R47" s="30">
        <f>848.74+587.05+557.5+750.92</f>
        <v>2744.21</v>
      </c>
      <c r="S47" s="87">
        <f t="shared" si="1"/>
        <v>13.266666666666666</v>
      </c>
    </row>
    <row r="48" spans="1:19" ht="18.75">
      <c r="A48" s="38" t="s">
        <v>64</v>
      </c>
      <c r="B48" s="28" t="s">
        <v>43</v>
      </c>
      <c r="C48" s="18"/>
      <c r="D48" s="18"/>
      <c r="E48" s="18"/>
      <c r="F48" s="18"/>
      <c r="G48" s="19"/>
      <c r="H48" s="19"/>
      <c r="I48" s="19"/>
      <c r="J48" s="19"/>
      <c r="K48" s="29"/>
      <c r="L48" s="29"/>
      <c r="M48" s="59">
        <f t="shared" si="2"/>
        <v>135989</v>
      </c>
      <c r="N48" s="52">
        <f>N49</f>
        <v>135989</v>
      </c>
      <c r="O48" s="56"/>
      <c r="P48" s="56"/>
      <c r="R48" s="52">
        <f>R49</f>
        <v>86928.87000000001</v>
      </c>
      <c r="S48" s="83">
        <f t="shared" si="1"/>
        <v>63.92345704431976</v>
      </c>
    </row>
    <row r="49" spans="1:19" ht="37.5">
      <c r="A49" s="51"/>
      <c r="B49" s="6" t="s">
        <v>44</v>
      </c>
      <c r="C49" s="21"/>
      <c r="D49" s="21"/>
      <c r="E49" s="21"/>
      <c r="F49" s="21"/>
      <c r="G49" s="22"/>
      <c r="H49" s="22"/>
      <c r="I49" s="22"/>
      <c r="J49" s="22"/>
      <c r="K49" s="24"/>
      <c r="L49" s="24"/>
      <c r="M49" s="70">
        <f t="shared" si="2"/>
        <v>135989</v>
      </c>
      <c r="N49" s="30">
        <f>135989</f>
        <v>135989</v>
      </c>
      <c r="O49" s="56"/>
      <c r="P49" s="56"/>
      <c r="R49" s="30">
        <f>6438.31+13187.76+54909+12393.8</f>
        <v>86928.87000000001</v>
      </c>
      <c r="S49" s="88">
        <f t="shared" si="1"/>
        <v>63.92345704431976</v>
      </c>
    </row>
    <row r="50" spans="1:19" s="1" customFormat="1" ht="18.75">
      <c r="A50" s="38" t="s">
        <v>65</v>
      </c>
      <c r="B50" s="4" t="s">
        <v>3</v>
      </c>
      <c r="C50" s="21"/>
      <c r="D50" s="21"/>
      <c r="E50" s="21"/>
      <c r="F50" s="21"/>
      <c r="G50" s="22"/>
      <c r="H50" s="22"/>
      <c r="I50" s="22"/>
      <c r="J50" s="22"/>
      <c r="K50" s="24"/>
      <c r="L50" s="24"/>
      <c r="M50" s="59">
        <f t="shared" si="2"/>
        <v>5104000</v>
      </c>
      <c r="N50" s="52">
        <v>5104000</v>
      </c>
      <c r="O50" s="56"/>
      <c r="P50" s="58"/>
      <c r="R50" s="52">
        <f>307554.9+660163.29+188518.82</f>
        <v>1156237.01</v>
      </c>
      <c r="S50" s="83">
        <f t="shared" si="1"/>
        <v>22.65354643416928</v>
      </c>
    </row>
    <row r="51" spans="1:19" s="1" customFormat="1" ht="18.75">
      <c r="A51" s="38" t="s">
        <v>66</v>
      </c>
      <c r="B51" s="23" t="s">
        <v>4</v>
      </c>
      <c r="C51" s="21"/>
      <c r="D51" s="21"/>
      <c r="E51" s="21"/>
      <c r="F51" s="21"/>
      <c r="G51" s="22"/>
      <c r="H51" s="22"/>
      <c r="I51" s="22"/>
      <c r="J51" s="22"/>
      <c r="K51" s="24"/>
      <c r="L51" s="24"/>
      <c r="M51" s="59">
        <f t="shared" si="2"/>
        <v>15542500</v>
      </c>
      <c r="N51" s="52">
        <v>15542500</v>
      </c>
      <c r="O51" s="56"/>
      <c r="P51" s="58"/>
      <c r="R51" s="52">
        <f>395040.22+212576.7+295465.16+636768.36+460772.48+515858.1+296210.88+365426.04+149458.82+443155.79+594401.56+144057+0.04+311313.66+432171.11+724281.07+756983.36+259302.66+427860.16+868338.1+28811.41+296210.88</f>
        <v>8614463.56</v>
      </c>
      <c r="S51" s="83">
        <f t="shared" si="1"/>
        <v>55.42521190284704</v>
      </c>
    </row>
    <row r="52" spans="1:19" s="1" customFormat="1" ht="18.75">
      <c r="A52" s="38" t="s">
        <v>84</v>
      </c>
      <c r="B52" s="23" t="s">
        <v>85</v>
      </c>
      <c r="C52" s="21"/>
      <c r="D52" s="21"/>
      <c r="E52" s="21"/>
      <c r="F52" s="21"/>
      <c r="G52" s="22"/>
      <c r="H52" s="22"/>
      <c r="I52" s="22"/>
      <c r="J52" s="22"/>
      <c r="K52" s="24"/>
      <c r="L52" s="24"/>
      <c r="M52" s="59">
        <f t="shared" si="2"/>
        <v>257000</v>
      </c>
      <c r="N52" s="52">
        <v>257000</v>
      </c>
      <c r="O52" s="56"/>
      <c r="P52" s="58"/>
      <c r="R52" s="52">
        <v>23700.62</v>
      </c>
      <c r="S52" s="83">
        <f t="shared" si="1"/>
        <v>9.22203112840467</v>
      </c>
    </row>
    <row r="53" spans="1:19" ht="18.75">
      <c r="A53" s="38" t="s">
        <v>67</v>
      </c>
      <c r="B53" s="23" t="s">
        <v>9</v>
      </c>
      <c r="C53" s="18">
        <f>20554.4+1254+42.4</f>
        <v>21850.800000000003</v>
      </c>
      <c r="D53" s="18">
        <f>20118.2+1254+42.4</f>
        <v>21414.600000000002</v>
      </c>
      <c r="E53" s="18">
        <f>166.5+18.4</f>
        <v>184.9</v>
      </c>
      <c r="F53" s="18">
        <f>19951.7+1254+24</f>
        <v>21229.7</v>
      </c>
      <c r="G53" s="31">
        <f>25447.6+198</f>
        <v>25645.6</v>
      </c>
      <c r="H53" s="31">
        <v>10120.4</v>
      </c>
      <c r="I53" s="18">
        <v>21229.7</v>
      </c>
      <c r="J53" s="31"/>
      <c r="K53" s="31"/>
      <c r="L53" s="31"/>
      <c r="M53" s="59">
        <f t="shared" si="2"/>
        <v>25052300</v>
      </c>
      <c r="N53" s="52">
        <f>N54+N55</f>
        <v>25052300</v>
      </c>
      <c r="O53" s="56"/>
      <c r="P53" s="56"/>
      <c r="R53" s="52">
        <f>R54+R55</f>
        <v>17315017.41</v>
      </c>
      <c r="S53" s="83">
        <f t="shared" si="1"/>
        <v>69.11548005572342</v>
      </c>
    </row>
    <row r="54" spans="1:19" ht="60.75" customHeight="1">
      <c r="A54" s="51"/>
      <c r="B54" s="34" t="s">
        <v>5</v>
      </c>
      <c r="C54" s="21"/>
      <c r="D54" s="21"/>
      <c r="E54" s="21"/>
      <c r="F54" s="21"/>
      <c r="G54" s="32"/>
      <c r="H54" s="32"/>
      <c r="I54" s="32"/>
      <c r="J54" s="7"/>
      <c r="K54" s="32"/>
      <c r="L54" s="33"/>
      <c r="M54" s="70">
        <f t="shared" si="2"/>
        <v>7232100</v>
      </c>
      <c r="N54" s="30">
        <v>7232100</v>
      </c>
      <c r="O54" s="56"/>
      <c r="P54" s="56"/>
      <c r="R54" s="49">
        <f>1341065+264830+1439254.25+119395.75+507870+59340+35936.5+335196.18+472850.38+220509.52+146366.88+71415+175089.2+268474.5+377603.92+171362.7</f>
        <v>6006559.78</v>
      </c>
      <c r="S54" s="88">
        <f t="shared" si="1"/>
        <v>83.0541582666169</v>
      </c>
    </row>
    <row r="55" spans="1:19" ht="115.5" customHeight="1">
      <c r="A55" s="51"/>
      <c r="B55" s="75" t="s">
        <v>6</v>
      </c>
      <c r="C55" s="21"/>
      <c r="D55" s="21"/>
      <c r="E55" s="21"/>
      <c r="F55" s="21"/>
      <c r="G55" s="32"/>
      <c r="H55" s="32"/>
      <c r="I55" s="32"/>
      <c r="J55" s="7"/>
      <c r="K55" s="32"/>
      <c r="L55" s="33"/>
      <c r="M55" s="70">
        <f t="shared" si="2"/>
        <v>17820200</v>
      </c>
      <c r="N55" s="30">
        <v>17820200</v>
      </c>
      <c r="O55" s="56"/>
      <c r="P55" s="56"/>
      <c r="R55" s="30">
        <f>485919.56+3050150.33+4015340.79+1228787.45+1461675.45+214759.4+851824.65</f>
        <v>11308457.629999999</v>
      </c>
      <c r="S55" s="88">
        <f t="shared" si="1"/>
        <v>63.458645974792645</v>
      </c>
    </row>
    <row r="56" spans="1:19" ht="18.75">
      <c r="A56" s="38" t="s">
        <v>68</v>
      </c>
      <c r="B56" s="36" t="s">
        <v>45</v>
      </c>
      <c r="C56" s="37"/>
      <c r="D56" s="37"/>
      <c r="E56" s="37"/>
      <c r="F56" s="37"/>
      <c r="G56" s="37"/>
      <c r="H56" s="37"/>
      <c r="I56" s="37"/>
      <c r="J56" s="37"/>
      <c r="K56" s="37"/>
      <c r="L56" s="37"/>
      <c r="M56" s="59">
        <f t="shared" si="2"/>
        <v>703500</v>
      </c>
      <c r="N56" s="54">
        <f>N58+N57</f>
        <v>703500</v>
      </c>
      <c r="O56" s="56"/>
      <c r="P56" s="56"/>
      <c r="R56" s="54">
        <f>R58+R57</f>
        <v>360175.92</v>
      </c>
      <c r="S56" s="83">
        <f t="shared" si="1"/>
        <v>51.19771428571428</v>
      </c>
    </row>
    <row r="57" spans="1:19" ht="18.75">
      <c r="A57" s="51"/>
      <c r="B57" s="20" t="s">
        <v>7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70">
        <f t="shared" si="2"/>
        <v>603500</v>
      </c>
      <c r="N57" s="53">
        <f>225000+378500</f>
        <v>603500</v>
      </c>
      <c r="O57" s="56"/>
      <c r="P57" s="56"/>
      <c r="R57" s="53">
        <f>12823.97+314438.51+1053.06</f>
        <v>328315.54</v>
      </c>
      <c r="S57" s="83">
        <f t="shared" si="1"/>
        <v>54.40191217895609</v>
      </c>
    </row>
    <row r="58" spans="1:19" ht="18.75">
      <c r="A58" s="51"/>
      <c r="B58" s="20" t="s">
        <v>46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70">
        <f t="shared" si="2"/>
        <v>100000</v>
      </c>
      <c r="N58" s="53">
        <v>100000</v>
      </c>
      <c r="O58" s="56"/>
      <c r="P58" s="56"/>
      <c r="R58" s="53">
        <f>385.27+6084.22+13129.31+12261.58</f>
        <v>31860.379999999997</v>
      </c>
      <c r="S58" s="83">
        <f t="shared" si="1"/>
        <v>31.86038</v>
      </c>
    </row>
    <row r="59" spans="1:19" ht="18.75">
      <c r="A59" s="38" t="s">
        <v>69</v>
      </c>
      <c r="B59" s="17" t="s">
        <v>8</v>
      </c>
      <c r="C59" s="18">
        <f>31.3+21.5</f>
        <v>52.8</v>
      </c>
      <c r="D59" s="18">
        <f>C59</f>
        <v>52.8</v>
      </c>
      <c r="E59" s="18">
        <v>0</v>
      </c>
      <c r="F59" s="18">
        <f>D59</f>
        <v>52.8</v>
      </c>
      <c r="G59" s="19">
        <v>100</v>
      </c>
      <c r="H59" s="19">
        <v>0</v>
      </c>
      <c r="I59" s="19">
        <v>52.8</v>
      </c>
      <c r="J59" s="19" t="s">
        <v>29</v>
      </c>
      <c r="K59" s="19" t="s">
        <v>29</v>
      </c>
      <c r="L59" s="19" t="s">
        <v>29</v>
      </c>
      <c r="M59" s="59">
        <f t="shared" si="2"/>
        <v>821358.2</v>
      </c>
      <c r="N59" s="48">
        <v>821358.2</v>
      </c>
      <c r="O59" s="56"/>
      <c r="P59" s="56"/>
      <c r="R59" s="48">
        <f>57313.38+61144.73+58977.29+61169.9+64788.11+63325.73</f>
        <v>366719.13999999996</v>
      </c>
      <c r="S59" s="83">
        <f t="shared" si="1"/>
        <v>44.64789418307384</v>
      </c>
    </row>
    <row r="60" spans="1:19" ht="18.75">
      <c r="A60" s="38" t="s">
        <v>70</v>
      </c>
      <c r="B60" s="17" t="s">
        <v>47</v>
      </c>
      <c r="C60" s="18" t="e">
        <f>#REF!+#REF!</f>
        <v>#REF!</v>
      </c>
      <c r="D60" s="18" t="e">
        <f>#REF!+#REF!</f>
        <v>#REF!</v>
      </c>
      <c r="E60" s="18" t="e">
        <f>#REF!+#REF!</f>
        <v>#REF!</v>
      </c>
      <c r="F60" s="18" t="e">
        <f>#REF!+#REF!</f>
        <v>#REF!</v>
      </c>
      <c r="G60" s="19" t="e">
        <f>#REF!+#REF!</f>
        <v>#REF!</v>
      </c>
      <c r="H60" s="19"/>
      <c r="I60" s="19">
        <v>3916.0000000000005</v>
      </c>
      <c r="J60" s="19"/>
      <c r="K60" s="19"/>
      <c r="L60" s="19"/>
      <c r="M60" s="59">
        <f t="shared" si="2"/>
        <v>59112.8</v>
      </c>
      <c r="N60" s="48">
        <f>59136-23.2</f>
        <v>59112.8</v>
      </c>
      <c r="O60" s="56"/>
      <c r="P60" s="56"/>
      <c r="R60" s="48">
        <v>15318.9</v>
      </c>
      <c r="S60" s="83">
        <f t="shared" si="1"/>
        <v>25.91469191105818</v>
      </c>
    </row>
    <row r="61" spans="1:19" ht="37.5">
      <c r="A61" s="38" t="s">
        <v>71</v>
      </c>
      <c r="B61" s="84" t="s">
        <v>80</v>
      </c>
      <c r="C61" s="18"/>
      <c r="D61" s="18"/>
      <c r="E61" s="18"/>
      <c r="F61" s="18"/>
      <c r="G61" s="19"/>
      <c r="H61" s="19"/>
      <c r="I61" s="19"/>
      <c r="J61" s="19"/>
      <c r="K61" s="19"/>
      <c r="L61" s="19"/>
      <c r="M61" s="59">
        <f t="shared" si="2"/>
        <v>5475807.68</v>
      </c>
      <c r="N61" s="48">
        <v>5475807.68</v>
      </c>
      <c r="O61" s="56"/>
      <c r="P61" s="61"/>
      <c r="R61" s="53">
        <v>5475807.68</v>
      </c>
      <c r="S61" s="87">
        <f t="shared" si="1"/>
        <v>100</v>
      </c>
    </row>
    <row r="62" spans="1:19" ht="37.5">
      <c r="A62" s="38" t="s">
        <v>86</v>
      </c>
      <c r="B62" s="84" t="s">
        <v>87</v>
      </c>
      <c r="C62" s="18"/>
      <c r="D62" s="18"/>
      <c r="E62" s="18"/>
      <c r="F62" s="18"/>
      <c r="G62" s="19"/>
      <c r="H62" s="19"/>
      <c r="I62" s="19"/>
      <c r="J62" s="19"/>
      <c r="K62" s="19"/>
      <c r="L62" s="19"/>
      <c r="M62" s="59">
        <f t="shared" si="2"/>
        <v>170381.14</v>
      </c>
      <c r="N62" s="48">
        <f>550000-379618.86</f>
        <v>170381.14</v>
      </c>
      <c r="O62" s="56"/>
      <c r="P62" s="61"/>
      <c r="R62" s="53">
        <v>170381.14</v>
      </c>
      <c r="S62" s="87">
        <f t="shared" si="1"/>
        <v>100</v>
      </c>
    </row>
    <row r="63" spans="1:19" ht="37.5">
      <c r="A63" s="38" t="s">
        <v>88</v>
      </c>
      <c r="B63" s="17" t="s">
        <v>93</v>
      </c>
      <c r="C63" s="18"/>
      <c r="D63" s="18"/>
      <c r="E63" s="18"/>
      <c r="F63" s="18"/>
      <c r="G63" s="19"/>
      <c r="H63" s="19"/>
      <c r="I63" s="19"/>
      <c r="J63" s="19"/>
      <c r="K63" s="19"/>
      <c r="L63" s="19"/>
      <c r="M63" s="59">
        <f>N63+O63</f>
        <v>10000000</v>
      </c>
      <c r="N63" s="48">
        <f>N64+N65+N66</f>
        <v>10000000</v>
      </c>
      <c r="O63" s="67"/>
      <c r="P63" s="68"/>
      <c r="R63" s="48">
        <f>R64+R65+R66</f>
        <v>3977411.5999999996</v>
      </c>
      <c r="S63" s="91">
        <f t="shared" si="1"/>
        <v>39.774116</v>
      </c>
    </row>
    <row r="64" spans="1:19" ht="18.75">
      <c r="A64" s="38"/>
      <c r="B64" s="20" t="s">
        <v>89</v>
      </c>
      <c r="C64" s="18"/>
      <c r="D64" s="18"/>
      <c r="E64" s="18"/>
      <c r="F64" s="18"/>
      <c r="G64" s="19"/>
      <c r="H64" s="19"/>
      <c r="I64" s="19"/>
      <c r="J64" s="19"/>
      <c r="K64" s="19"/>
      <c r="L64" s="19"/>
      <c r="M64" s="70">
        <f>N64+O64</f>
        <v>2000000</v>
      </c>
      <c r="N64" s="85">
        <f>1500000+500000</f>
        <v>2000000</v>
      </c>
      <c r="O64" s="67"/>
      <c r="P64" s="68"/>
      <c r="R64" s="53">
        <f>185695.2+283914.6+257099.4+99340.8</f>
        <v>826050</v>
      </c>
      <c r="S64" s="87">
        <f t="shared" si="1"/>
        <v>41.302499999999995</v>
      </c>
    </row>
    <row r="65" spans="1:19" ht="18.75">
      <c r="A65" s="38"/>
      <c r="B65" s="20" t="s">
        <v>90</v>
      </c>
      <c r="C65" s="18"/>
      <c r="D65" s="18"/>
      <c r="E65" s="18"/>
      <c r="F65" s="18"/>
      <c r="G65" s="19"/>
      <c r="H65" s="19"/>
      <c r="I65" s="19"/>
      <c r="J65" s="19"/>
      <c r="K65" s="19"/>
      <c r="L65" s="19"/>
      <c r="M65" s="70">
        <f>N65+O65</f>
        <v>4500000</v>
      </c>
      <c r="N65" s="85">
        <f>5000000-500000</f>
        <v>4500000</v>
      </c>
      <c r="O65" s="67"/>
      <c r="P65" s="68"/>
      <c r="R65" s="53">
        <f>309091.2+295428.55+104848.25+410089.8+99821.4+693328.2+131138.4</f>
        <v>2043745.7999999998</v>
      </c>
      <c r="S65" s="87">
        <f t="shared" si="1"/>
        <v>45.416573333333325</v>
      </c>
    </row>
    <row r="66" spans="1:19" ht="18.75">
      <c r="A66" s="38"/>
      <c r="B66" s="20" t="s">
        <v>91</v>
      </c>
      <c r="C66" s="18"/>
      <c r="D66" s="18"/>
      <c r="E66" s="18"/>
      <c r="F66" s="18"/>
      <c r="G66" s="19"/>
      <c r="H66" s="19"/>
      <c r="I66" s="19"/>
      <c r="J66" s="19"/>
      <c r="K66" s="19"/>
      <c r="L66" s="19"/>
      <c r="M66" s="70">
        <f>N66+O66</f>
        <v>3500000</v>
      </c>
      <c r="N66" s="85">
        <v>3500000</v>
      </c>
      <c r="O66" s="67"/>
      <c r="P66" s="68"/>
      <c r="R66" s="53">
        <f>74552+801148+76187.2+99949.6+104283-48504</f>
        <v>1107615.8</v>
      </c>
      <c r="S66" s="87">
        <f t="shared" si="1"/>
        <v>31.64616571428572</v>
      </c>
    </row>
    <row r="67" spans="1:19" ht="18.75">
      <c r="A67" s="39"/>
      <c r="B67" s="40" t="s">
        <v>50</v>
      </c>
      <c r="C67" s="39"/>
      <c r="D67" s="39"/>
      <c r="E67" s="39"/>
      <c r="F67" s="39"/>
      <c r="G67" s="72"/>
      <c r="H67" s="72"/>
      <c r="I67" s="72"/>
      <c r="J67" s="72"/>
      <c r="K67" s="72"/>
      <c r="L67" s="72"/>
      <c r="M67" s="60">
        <f>M7+M25+M27+M29</f>
        <v>93841998.82000001</v>
      </c>
      <c r="N67" s="60">
        <f>N7+N25+N27+N29</f>
        <v>79525088.82000001</v>
      </c>
      <c r="O67" s="60">
        <f>O7+O25+O27+O29</f>
        <v>14316910</v>
      </c>
      <c r="P67" s="60">
        <f>P7+P25+P27+P29</f>
        <v>14316910</v>
      </c>
      <c r="R67" s="80">
        <f>R25+R27+R29</f>
        <v>46720263.830000006</v>
      </c>
      <c r="S67" s="82">
        <f t="shared" si="1"/>
        <v>49.786091960397144</v>
      </c>
    </row>
    <row r="68" spans="2:15" ht="12.75" hidden="1">
      <c r="B68">
        <v>2240</v>
      </c>
      <c r="M68" s="41">
        <f>M28+M31+M34+M41+M50+M51+M53+M60</f>
        <v>55530309.089999996</v>
      </c>
      <c r="O68" s="56"/>
    </row>
    <row r="69" spans="2:15" ht="12.75" hidden="1">
      <c r="B69">
        <v>2272</v>
      </c>
      <c r="M69" s="41">
        <f>M42+M46+M57</f>
        <v>800058.71</v>
      </c>
      <c r="O69" s="56"/>
    </row>
    <row r="70" spans="2:15" ht="12.75" hidden="1">
      <c r="B70">
        <v>2273</v>
      </c>
      <c r="M70" s="41">
        <f>M32+M43+M47+M59+M58</f>
        <v>4830643.2</v>
      </c>
      <c r="O70" s="56"/>
    </row>
    <row r="71" spans="2:15" ht="12.75" hidden="1">
      <c r="B71">
        <v>2610</v>
      </c>
      <c r="M71" s="41">
        <f>M33+M45+M49</f>
        <v>2460889</v>
      </c>
      <c r="O71" s="56"/>
    </row>
    <row r="72" spans="13:15" ht="12.75" hidden="1">
      <c r="M72" s="41">
        <f>M68+M69+M70+M71</f>
        <v>63621900</v>
      </c>
      <c r="O72" s="56"/>
    </row>
    <row r="75" spans="2:13" ht="18.75"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3"/>
    </row>
  </sheetData>
  <sheetProtection/>
  <mergeCells count="14">
    <mergeCell ref="B1:O1"/>
    <mergeCell ref="A6:S6"/>
    <mergeCell ref="N3:N4"/>
    <mergeCell ref="O3:O4"/>
    <mergeCell ref="P3:Q3"/>
    <mergeCell ref="P4:Q4"/>
    <mergeCell ref="A3:A4"/>
    <mergeCell ref="B3:B4"/>
    <mergeCell ref="H3:H4"/>
    <mergeCell ref="S3:S4"/>
    <mergeCell ref="I3:I4"/>
    <mergeCell ref="J3:J4"/>
    <mergeCell ref="K3:M4"/>
    <mergeCell ref="R3:R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31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Качаєнко Олена Андріївна</dc:creator>
  <cp:keywords/>
  <dc:description/>
  <cp:lastModifiedBy>fmg3</cp:lastModifiedBy>
  <cp:lastPrinted>2016-06-30T06:05:05Z</cp:lastPrinted>
  <dcterms:created xsi:type="dcterms:W3CDTF">2014-01-17T10:52:16Z</dcterms:created>
  <dcterms:modified xsi:type="dcterms:W3CDTF">2016-07-08T10:56:40Z</dcterms:modified>
  <cp:category/>
  <cp:version/>
  <cp:contentType/>
  <cp:contentStatus/>
</cp:coreProperties>
</file>